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<sst xmlns="http://schemas.openxmlformats.org/spreadsheetml/2006/main" count="3739" uniqueCount="2132">
  <si>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</si>
  <si>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</si>
  <si>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</si>
  <si>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</si>
  <si>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</si>
  <si>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</si>
  <si>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</si>
  <si>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</si>
  <si>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</si>
  <si>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</si>
  <si>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</si>
  <si>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</si>
  <si>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</si>
  <si>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</si>
  <si>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4.1.1.10</t>
  </si>
  <si>
    <t>2.7.1.15</t>
  </si>
  <si>
    <t>Придбання системного блоку для Черкаської дитячої школи мистецтв</t>
  </si>
  <si>
    <t xml:space="preserve">2.7.1.14 </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</si>
  <si>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</si>
  <si>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</si>
  <si>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</si>
  <si>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 xml:space="preserve">ПЕРЕЛІК ОБ'ЄКТІВ,
 видатки на які у 2014 році будуть проводитись 
за рахунок коштів бюджету розвитку </t>
  </si>
  <si>
    <t>Придбання комп'ютерної та копіювальної техніки для територіального центру соціальної допомоги Придніпровського району м.Черкаси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</si>
  <si>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</si>
  <si>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</si>
  <si>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</si>
  <si>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</si>
  <si>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</si>
  <si>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</si>
  <si>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</si>
  <si>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</si>
  <si>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</si>
  <si>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</si>
  <si>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</si>
  <si>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</si>
  <si>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</si>
  <si>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</si>
  <si>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</si>
  <si>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</si>
  <si>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</si>
  <si>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</si>
  <si>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</si>
  <si>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</si>
  <si>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</si>
  <si>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</si>
  <si>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</si>
  <si>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</si>
  <si>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3131
3210-956573,99</t>
  </si>
  <si>
    <t>Надійшло станом на 20.11.2014</t>
  </si>
  <si>
    <t>Залишок коштів на рахунку на 20.11.2014</t>
  </si>
  <si>
    <t>Профінансовано на 20.11.2014</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</si>
  <si>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</si>
  <si>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</si>
  <si>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</si>
  <si>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</si>
  <si>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</si>
  <si>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</si>
  <si>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</si>
  <si>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</si>
  <si>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</si>
  <si>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</si>
  <si>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</si>
  <si>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рамкова угода №192 від 20.11.13р. - 56439грн.</t>
  </si>
  <si>
    <t>Реконструкція із застосуванням щебенево-мастичного асфальтобетону вул. Ільїна від вул. Котовського до вул. Енгельса</t>
  </si>
  <si>
    <t>1.4.1.14</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</si>
  <si>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</si>
  <si>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</si>
  <si>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</si>
  <si>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</si>
  <si>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</si>
  <si>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</si>
  <si>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</si>
  <si>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</si>
  <si>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</si>
  <si>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</si>
  <si>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</si>
  <si>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</si>
  <si>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</si>
  <si>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</si>
  <si>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</si>
  <si>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</si>
  <si>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</si>
  <si>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</si>
  <si>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</si>
  <si>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</si>
  <si>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</si>
  <si>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</si>
  <si>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</si>
  <si>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</si>
  <si>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</si>
  <si>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</si>
  <si>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</si>
  <si>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</si>
  <si>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</si>
  <si>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</si>
  <si>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</si>
  <si>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</si>
  <si>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</si>
  <si>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</si>
  <si>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</si>
  <si>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</si>
  <si>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</si>
  <si>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Реконструкція актового залу ЗОШ І-ІІІ ступенів № 29 Черкаської міської ради (з ПКД)</t>
  </si>
  <si>
    <t>Придбання комп'ютерів та оргтехніки для Черкаського міського Палацу молоді</t>
  </si>
  <si>
    <t>Дошкільні заклади освіти</t>
  </si>
  <si>
    <t>070201</t>
  </si>
  <si>
    <t>070304</t>
  </si>
  <si>
    <t>070401</t>
  </si>
  <si>
    <t>070804</t>
  </si>
  <si>
    <t>070806</t>
  </si>
  <si>
    <t>(грн.)</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</si>
  <si>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</si>
  <si>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</si>
  <si>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</si>
  <si>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</si>
  <si>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</si>
  <si>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</si>
  <si>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</si>
  <si>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2.6.1.10</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</si>
  <si>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</si>
  <si>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</si>
  <si>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</si>
  <si>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</si>
  <si>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</si>
  <si>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</si>
  <si>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</si>
  <si>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</si>
  <si>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</si>
  <si>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</si>
  <si>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</si>
  <si>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Реконструкція спортивного майданчика на розі вул. Гвардійська та пров. Гвардійський (з ПКД)</t>
  </si>
  <si>
    <t>Придбання меблів та інших товарів для прес-центру та конференц-залу у приміщенні З-2 (ІІ поверх) по вул. Благовісній, 170</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</si>
  <si>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</si>
  <si>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</si>
  <si>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</si>
  <si>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</si>
  <si>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</si>
  <si>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</si>
  <si>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</si>
  <si>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</si>
  <si>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</si>
  <si>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</si>
  <si>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5.7.1.2</t>
  </si>
  <si>
    <t>Реконструкція системи опалення,монтаж вузла обліку тепла  ДНЗ № 72</t>
  </si>
  <si>
    <t>5.7.1.9</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</si>
  <si>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</si>
  <si>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</si>
  <si>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</si>
  <si>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</si>
  <si>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</si>
  <si>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</si>
  <si>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</si>
  <si>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</si>
  <si>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Капітальний ремонт квиткових кас з вхідною групою КП “Центральний стадіон” по вул.Смілянська, 78, м.Черкаси ( виготовлення ПКД)</t>
  </si>
  <si>
    <t xml:space="preserve">Капітальний ремонт покрівлі СШ І-ІІІ ступенів № 18 Черкаської міської ради </t>
  </si>
  <si>
    <t xml:space="preserve">Капітальний ремонт покрівлі НВК "ЗОШ І-ІІІ ступенів-ліцей спортивного профілю № 34" Черкаської міської ради </t>
  </si>
  <si>
    <t>070805</t>
  </si>
  <si>
    <t>д.31-10-13 від 18.11.13., д/у 31-10-130Д від 30.12.13. (закриття року), д/у 31-10-13Д/1 від 16.07.14. всього 86926,80 грн.</t>
  </si>
  <si>
    <t>д.2/22.05.13., д/у 2Д від 130813 (зміна департаменту); д/у3-1Д від 30.12.13. (фінансування 2013 -439909,85 грн; д/у3Д від 04.06.2014 (загальна сума 622580,15 грн., в т.ч. 2014 - 182670,30 грн.)на суму 182670,30; д.15-тн від 22.05.13,д/у 1 від 08.07.13,д/у2 від 13.08.13,д/у3 від 30.12.13,д/у 4від 21.07.14 всього 9167,64 грн.,  2013р.-6482,72,2014р.-2684,92</t>
  </si>
  <si>
    <t>д.№27-08-13/04.09.13.; д/у № 27-08-13Д (зміна реквізитів), д/у №27-08-13-10Д від 30.12.14. (закриття року), д/у №27-08-136-1 Д всього 685837,20 грн., 2013 - 444120,00 грн., 2014 - 241712,20 грн. ;д.11-тн від 30.10.13,д/у11-1тнД від 30.12.14,д/у 11тнД від 02.07.14 на суму 10137,00</t>
  </si>
  <si>
    <t>д.03-07  від 25.12.13., д/у03-07-01 тнД від 25.12.13. (закриття року), д/у 03-07 тнД від 30.07.14. на суму 780,00грн.</t>
  </si>
  <si>
    <t>д.17377/160 від 20.09.13 на суму 334226,88</t>
  </si>
  <si>
    <t>д.08/13 від 04.11.13 на суму 2500,00; д.422 від 13.12.13 на суму 2197,37</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</si>
  <si>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</si>
  <si>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</si>
  <si>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</si>
  <si>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</si>
  <si>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</si>
  <si>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 xml:space="preserve">Податок на нерухоме майно, відмінне від земельної ділянки, сплачений фізичними особами </t>
  </si>
  <si>
    <t>Єдиний податок</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</si>
  <si>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</si>
  <si>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</si>
  <si>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</si>
  <si>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</si>
  <si>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</si>
  <si>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</si>
  <si>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Придбання комп'ютера ЗОШ № 15</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</si>
  <si>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</si>
  <si>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</si>
  <si>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</si>
  <si>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</si>
  <si>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</si>
  <si>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</si>
  <si>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</si>
  <si>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</si>
  <si>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</si>
  <si>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</si>
  <si>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</si>
  <si>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</si>
  <si>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</si>
  <si>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</si>
  <si>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</si>
  <si>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</si>
  <si>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</si>
  <si>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</si>
  <si>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</si>
  <si>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</si>
  <si>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</si>
  <si>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</si>
  <si>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</si>
  <si>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</si>
  <si>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</si>
  <si>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</si>
  <si>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</si>
  <si>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</si>
  <si>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</si>
  <si>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</si>
  <si>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</si>
  <si>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</si>
  <si>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</si>
  <si>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</si>
  <si>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</si>
  <si>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</si>
  <si>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</si>
  <si>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</si>
  <si>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</si>
  <si>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на придбання елементів для встановлення на дитячих та спортивних майданчиках за адресами: вул. Калініна, 2, вул. В. Чорновола, 52, вул. Благовісна, 310</t>
  </si>
  <si>
    <t>Субвенція з місцевого бюджету державному бюджету на виконання програм соціально-економічного розвитку регіонів</t>
  </si>
  <si>
    <t>Субвенція з місцевого бюджету державному бюджету на придбання обладнання та предметів довгострокового користування для забезпечення потреб військовослужбовців військової частини А 1744</t>
  </si>
  <si>
    <t>Субвенція з місцевого бюджету державному бюджету на придбання обладнання та предметів довгострокового користування для забезпечення потреб військовослужбовців Черкаського зонального відділення Військової служби правопорядку</t>
  </si>
  <si>
    <t>Субвенція з місцевого бюджету державному бюджету на придбання обладнання та предметів довгострокового користування для забезпечення потреб військовослужбовців управління МВС україни в Черкаській області</t>
  </si>
  <si>
    <t>Субвенція з місцевого бюджету державному бюджету на придбання обладнання та предметів довгострокового користування Черкаському обласному військовому комісаріату для забезпечення потреб військовослужбовців роти охорони Черкаського об'єднаного військового комісаріату при міському військовому комісаріаті</t>
  </si>
  <si>
    <t>Субвенція з місцевого бюджету державному бюджету на придбання обладнання та предметів довгострокового користування для забезпечення потреб військовослужбовців управління МВС України в Черкаській області</t>
  </si>
  <si>
    <t>Програма захисту населення м. Черкаси від надзвичайних ситуацій техногенного і природного характеру на придбання облпднання та предметів довгострокового користування для забезпечення потреб військовослужбовців</t>
  </si>
  <si>
    <t>Капітальний ремонт контуру заземлення електрообладнання КНП "Черкаська міська інфекційна лікарня" ЧМР (з ПКД)</t>
  </si>
  <si>
    <t>Придбання крісла гінекологічного для Черкаської міської дитячої лікарні</t>
  </si>
  <si>
    <t>Капітальний ремонт будівлі господарського корпусу КЗ "Черкаський міський пологовий будинок "Центр матері та дитини" по вул. Чехова, 101, м. Черкаси (з ПКД)</t>
  </si>
  <si>
    <t>Придбання електрокардіографів КНП "Перша Черкаська міська поліклініка" ЧМР</t>
  </si>
  <si>
    <t>на реконструкцію мереж зовнішнього освітлення (установка ячейок пунктів каскадного включення)</t>
  </si>
  <si>
    <t>Капітальний ремонт житлового будинку по вул. Гагаріна, 45 (ОСББ "Гагаріна-45") в м.Черкаси (посилення несучих конструкцій 1-го під'їзду) (в т.ч. 41,0 тис. грн. інструментальне обстеження стану будівельних конструкцій)</t>
  </si>
  <si>
    <t>№10 від 19.08.13., д/у 1 від 30.12.13. (закриття року), д/у 2 від  02.07.14.всього 6016,76 грн., 2013 - 1805,03 грн., 2014 - 4211,73 грн.; д.3БМвід 21.07.14,д/у1 від 05.08.14 на суму 83275,20; д.4тн.14від 15.08.14на суму 1331,00;д.4ан.14від 15.08.14на суму 1278,00</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</si>
  <si>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</si>
  <si>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</si>
  <si>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</si>
  <si>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</si>
  <si>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</si>
  <si>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</si>
  <si>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</si>
  <si>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</si>
  <si>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</si>
  <si>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</si>
  <si>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</si>
  <si>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</si>
  <si>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</si>
  <si>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</si>
  <si>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</si>
  <si>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</si>
  <si>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 xml:space="preserve">на капітальний ремонт мереж зовнішнього освітлення міста по вул. Сумгаїтській до виїзду з м. Черкаси (заміна 92 опор) </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</si>
  <si>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</si>
  <si>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на придбання котла центрального опалення на біопаливі для виробництва гарячої води у котельні по вул. Менделєєва, 5а</t>
  </si>
  <si>
    <t xml:space="preserve">Програма розвитку туризму у місті Черкаси на 2013 -2015 роки </t>
  </si>
  <si>
    <t>Забезпечення робочих місць комп'ютерною технікою</t>
  </si>
  <si>
    <t>5.4.1.6</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</si>
  <si>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</si>
  <si>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</si>
  <si>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</si>
  <si>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</si>
  <si>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</si>
  <si>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</si>
  <si>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Реконструкція системи опалення,монтаж вузла обліку тепла  ЗОШ І-ІІІ ступенів № 30 Черкаської міської ради (з ПКД)</t>
  </si>
  <si>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</si>
  <si>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</si>
  <si>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</si>
  <si>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</si>
  <si>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</si>
  <si>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</si>
  <si>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</si>
  <si>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</si>
  <si>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Реконструкція із застосуванням щебенево-мастичного асфальтобетону вул. Чорновола від вул. Бидгощська до просп. Хіміків, м. 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</si>
  <si>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</si>
  <si>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</si>
  <si>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</si>
  <si>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</si>
  <si>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</si>
  <si>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</si>
  <si>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</si>
  <si>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</si>
  <si>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</si>
  <si>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</si>
  <si>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</si>
  <si>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</si>
  <si>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</si>
  <si>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</si>
  <si>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</si>
  <si>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</si>
  <si>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 xml:space="preserve">Реконструкція спортивного майданчику по вул. Калініна (біля житлових будинків №41,43) в м. Черкаси </t>
  </si>
  <si>
    <t>1.1.2.21</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</si>
  <si>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</si>
  <si>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</si>
  <si>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</si>
  <si>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</si>
  <si>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</si>
  <si>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</si>
  <si>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</si>
  <si>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</si>
  <si>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</si>
  <si>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</si>
  <si>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</si>
  <si>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</si>
  <si>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</si>
  <si>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</si>
  <si>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</si>
  <si>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</si>
  <si>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</si>
  <si>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</si>
  <si>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</si>
  <si>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</si>
  <si>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</si>
  <si>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</si>
  <si>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</si>
  <si>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</si>
  <si>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</si>
  <si>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</si>
  <si>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</si>
  <si>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2.2.1.4</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</si>
  <si>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</si>
  <si>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</si>
  <si>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</si>
  <si>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</si>
  <si>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</si>
  <si>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</si>
  <si>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</si>
  <si>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</si>
  <si>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</si>
  <si>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</si>
  <si>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існуючих мереж зовнішнього освітлення по вул. Чорновола (від пр. Хіміків до розворотного кільця (біля ЧШК) </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</si>
  <si>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</si>
  <si>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</si>
  <si>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</si>
  <si>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</si>
  <si>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2.3.1.2</t>
  </si>
  <si>
    <t>Капітальний ремонт приміщень ЗОШ І-ІІІ ступенів  № 4 ЧМР</t>
  </si>
  <si>
    <t>Виготовлення меморіальної дошки Герою Радянського Союзу Лук’янову Олексію Власовичу</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</si>
  <si>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</si>
  <si>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</si>
  <si>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</si>
  <si>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</si>
  <si>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</si>
  <si>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</si>
  <si>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</si>
  <si>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</si>
  <si>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</si>
  <si>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</si>
  <si>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</si>
  <si>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</si>
  <si>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</si>
  <si>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Капітальний ремонт приміщень Центру дитячої та юнацької творчості (з ПКД)</t>
  </si>
  <si>
    <t>Капітальний ремонт зовнішніх мереж водопостачання та каналізації Черкаської загальноосвітньої школи І-ІІІ ступеня № 7 ЧМР (з ПКД)</t>
  </si>
  <si>
    <t>Реконструкція системи теплопостачання до ДНЗ № 34 по вул. Гагаріна, 53</t>
  </si>
  <si>
    <t>Капітальний ремонт двох ліфтів у будівлі МВК (вул. Б.Вишневецького, 36)</t>
  </si>
  <si>
    <t xml:space="preserve">Капітальний ремонт вул. Канівська </t>
  </si>
  <si>
    <t>Капітальний ремонт приміщень ДНЗ міста ( з ПКД), у т.ч.:</t>
  </si>
  <si>
    <t>ДНЗ №1 вул. Хрещатик, 135</t>
  </si>
  <si>
    <t>ДНЗ №2 вул. Хрещатик, 261</t>
  </si>
  <si>
    <t>ДНЗ №5 вул.Ільїна, 301</t>
  </si>
  <si>
    <t>ДНЗ №7 пер. Південний 18</t>
  </si>
  <si>
    <t>ДНЗ № 21 бул. Шевченка, 179</t>
  </si>
  <si>
    <t>ДНЗ № 27 бул. Шевченка, 243</t>
  </si>
  <si>
    <t>ДНЗ № 31 вул. Піонерська, 59</t>
  </si>
  <si>
    <t>ДНЗ № 32 вул. Благовісна, 235</t>
  </si>
  <si>
    <t>ДНЗ № 33 пров.. Крилова, 7</t>
  </si>
  <si>
    <t>ДНЗ № 38 вул. Благовісна, 215</t>
  </si>
  <si>
    <t>ДНЗ № 39 вул. Калініна, 56</t>
  </si>
  <si>
    <t>ДНЗ № 45 вул. Енгельса, 233-а</t>
  </si>
  <si>
    <t>ДНЗ № 54 вул. Пушкіна, 153/1</t>
  </si>
  <si>
    <t>ДНЗ № 57 вул. Толстого, 73/1</t>
  </si>
  <si>
    <t>ДНЗ № 61 вул. Громова, 93/1</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</si>
  <si>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</si>
  <si>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</si>
  <si>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</si>
  <si>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</si>
  <si>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</si>
  <si>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</si>
  <si>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</si>
  <si>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</si>
  <si>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</si>
  <si>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</si>
  <si>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</si>
  <si>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</si>
  <si>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</si>
  <si>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Будівництво мереж зовнішнього освітлення пішохідної алеї від вул. Р. Люксембург (вздовж ЗОШ № 2) до житлового будинку  № 162 по вул. В. Чорновола (з ПКД)</t>
  </si>
  <si>
    <t>на капітальний ремонт теплових мереж, що передаються  з балансу освітніх установ міста на баланс КПТМ Черкаситеплокомуненерго"</t>
  </si>
  <si>
    <t>Капітальний ремонт приміщень ЗНЗ міста ( з ПКД), у т.ч.:</t>
  </si>
  <si>
    <t>Перша міська гімназія вул. Кірова, 68</t>
  </si>
  <si>
    <t>СШ №3 вул. Байди Вишневецького, 58</t>
  </si>
  <si>
    <t>ЗОШ № 5 вул. Різдвяна, 60</t>
  </si>
  <si>
    <t>ЗОШ № 7 вул. Червоноармійська, 13</t>
  </si>
  <si>
    <t>ЗОШ № 11 вул. Ільїна, 291</t>
  </si>
  <si>
    <t>СШ № 13 вул. Ватутіна, 96</t>
  </si>
  <si>
    <t>СШ № 18 вул. Нечуй-Левицького, 12</t>
  </si>
  <si>
    <t>ЗОШ № 19 вул. Університетська, 62а</t>
  </si>
  <si>
    <t>СШ № 20 вул. Бидгощська, б.2</t>
  </si>
  <si>
    <t>ЗОШ № 21 вул. Нижня Горова, 82</t>
  </si>
  <si>
    <t>ЗОШ № 22 вул. Вербовецького, 108</t>
  </si>
  <si>
    <t>ЗОШ № 24 вул. Пастерівська, 189</t>
  </si>
  <si>
    <t>СШ № 28 вул. Гайдара, 3</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</si>
  <si>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</si>
  <si>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</si>
  <si>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</si>
  <si>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</si>
  <si>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</si>
  <si>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</si>
  <si>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</si>
  <si>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Реконструкція освітлення пішохідної доріжки вздовж будинку № 39/1 по вул. Радянська від вул. Чорновола до ДНЗ № 37 м. Черкаси (з ПКД)</t>
  </si>
  <si>
    <t>1.2.4.14</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</si>
  <si>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</si>
  <si>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Будівництво літнього майданчику для стрільби з лука на фізкультурно-оздоровчому комплексі по вул. Ярославській, 5 в м. Черкаси (з ПКД)</t>
  </si>
  <si>
    <t>Капітальний ремонт покрівлі спеціалізованої школи І-ІІІ ступеню № 28 по вул. Гайдара, 3 (з ПКД) та по вул. Сумгаїтська, 22/1</t>
  </si>
  <si>
    <t>1.2.4.17</t>
  </si>
  <si>
    <t>Групи централізованого господарського обслуговування</t>
  </si>
  <si>
    <t>Реконструкція спортивного майданчика вул. В.Чорновола, 160/1 в м. Черкаси (з ПКД)</t>
  </si>
  <si>
    <t>Реконструкція спортивних майданчиків (з ПКД)</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</si>
  <si>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</si>
  <si>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 xml:space="preserve">Придбання електропіаніно "KAVAI" KDP80 </t>
  </si>
  <si>
    <t>110205</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</si>
  <si>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</si>
  <si>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</si>
  <si>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</si>
  <si>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</si>
  <si>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</si>
  <si>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</si>
  <si>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</si>
  <si>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</si>
  <si>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</si>
  <si>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</si>
  <si>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</si>
  <si>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</si>
  <si>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</si>
  <si>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</si>
  <si>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</si>
  <si>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</si>
  <si>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Капітальний ремонт внутрішніх мереж опалення (заміна бойлера та регулятора температури) будівлі по вул. Гоголя, 251, що знаходиться на балансі департаменту освіти та гуманітарної політики (з ПКД)</t>
  </si>
  <si>
    <t>Капітальний ремонт ЗОШ І-ІІІ ступенів № 8 Черкаської міської ради (покрівля) (з ПКД)</t>
  </si>
  <si>
    <t>Капітальний ремонт ЗОШ І-ІІІ ступенів № 30 Черкаської міської ради (покрівля) (з ПКД)</t>
  </si>
  <si>
    <t>Придбання виробів військового призначення</t>
  </si>
  <si>
    <t>Капітальний ремонт приміщень  ЗОШ І-ІІІ ступенів №21 Черкаської міської ради (з ПКД)</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</si>
  <si>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</si>
  <si>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</si>
  <si>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(ПКД)№405210, 7485,31</t>
  </si>
  <si>
    <t>(ПКД)№405211, 7485,31</t>
  </si>
  <si>
    <t>(ПКД)№405209, 1988,57</t>
  </si>
  <si>
    <t>(ПКД)№405208, 1988,57</t>
  </si>
  <si>
    <t>(ПКД)№405207, 1988,57</t>
  </si>
  <si>
    <t>(ПКД)№405206, 1988,57</t>
  </si>
  <si>
    <t>(ПКД)№405205, 1988,57</t>
  </si>
  <si>
    <t>(ПКД)№405203, 1988,57</t>
  </si>
  <si>
    <t>(ПКД)№405204, 1988,57</t>
  </si>
  <si>
    <t>(ПКД)№405202, 1988,57</t>
  </si>
  <si>
    <t>(ПКД)№405201, 1988,57</t>
  </si>
  <si>
    <t>№228, 756754,10грн; №228, 425403,60 грн; №3-14, 466220,00</t>
  </si>
  <si>
    <t>в наяваності</t>
  </si>
  <si>
    <t>№19, 130771,50</t>
  </si>
  <si>
    <t>№60, 312129,00</t>
  </si>
  <si>
    <t>№1, 342363,00</t>
  </si>
  <si>
    <t>(ПКД)№21051241, 2970,83</t>
  </si>
  <si>
    <t>(ПКД)№38-14, 10201,08</t>
  </si>
  <si>
    <t>(ПКД)№2205141, 4909,60</t>
  </si>
  <si>
    <t>(ПКД)№2506141, 11821,49</t>
  </si>
  <si>
    <t>№2114, 8864,40</t>
  </si>
  <si>
    <t>№8, 212819,00</t>
  </si>
  <si>
    <t>(ПКД)№65-14, 6546,11</t>
  </si>
  <si>
    <t>№2, 291296,00</t>
  </si>
  <si>
    <t>№__, 312000,00</t>
  </si>
  <si>
    <t>(ПКД)№040514, 3062,00</t>
  </si>
  <si>
    <t>№__, 610685,00</t>
  </si>
  <si>
    <t>№__, 28612,50</t>
  </si>
  <si>
    <t>№211, 3014124,00</t>
  </si>
  <si>
    <t>№210, 3654277,00</t>
  </si>
  <si>
    <t>(ПКД)№05-05-14, 27580,00</t>
  </si>
  <si>
    <t>(ПКД)№17-14, 13820,00</t>
  </si>
  <si>
    <t>(ПКД)№20-14, 1500,00</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</si>
  <si>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</si>
  <si>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</si>
  <si>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</si>
  <si>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</si>
  <si>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Договір № 37 від 03.07.2014 р. з ПП " Геобудсервіс Плюс".</t>
  </si>
  <si>
    <t>Експерний звіт № 24-0351-14 від 23.06.2014 р.</t>
  </si>
  <si>
    <t>ПКД замовлено</t>
  </si>
  <si>
    <t>Договір № 39 від 03.07.2014 р. з ПП " Геобудсервіс Плюс"</t>
  </si>
  <si>
    <t>Експерний звіт № 24-0352-14 від 23.06.2014 р.</t>
  </si>
  <si>
    <t>Договір № 42  від 09.07.2014р. З ПП " Геобудсервіс Плюс</t>
  </si>
  <si>
    <t>Експертний звіт № 24-0395-14 від 25.06.2014р.</t>
  </si>
  <si>
    <t>Експертний звіт № 24-0714-14 від 19.08.2014р.</t>
  </si>
  <si>
    <t>Договір № 24 від 11.06.2014 р.з ПП " Геобудсервіс Плюс".</t>
  </si>
  <si>
    <t xml:space="preserve">Експертний звіт № 24.0309-14 від 10.06.2014р. </t>
  </si>
  <si>
    <t>Експертний звіт № 24-0745-14 від 19.08.2014р.</t>
  </si>
  <si>
    <t>Договір № 28 від 03.06.2014 р.з ПП " Геобудсервіс Плюс".</t>
  </si>
  <si>
    <t xml:space="preserve">Експерний звіт 24-0272-14 від 30.05.2014 р. </t>
  </si>
  <si>
    <t>Замовляється проект</t>
  </si>
  <si>
    <t>проект замовлено</t>
  </si>
  <si>
    <t>ПКД виконана. Вартість ПКД-14672,29грн.
 Вартість об"єкту по ПКД- 362066,71</t>
  </si>
  <si>
    <t>ПКД виконана. Вартість ПКД-8796,32грн. 
Вартість об"єкту по ПКД- 140280,68</t>
  </si>
  <si>
    <t>Дог.№1 від 06.06.2014</t>
  </si>
  <si>
    <t>рахунок</t>
  </si>
  <si>
    <t>Придбання без тендеру</t>
  </si>
  <si>
    <t>виготовляється</t>
  </si>
  <si>
    <t>подана заявка</t>
  </si>
  <si>
    <t>(ПКД) №210514, 4845,11</t>
  </si>
  <si>
    <t>(ПКД) №200514, 4997,27</t>
  </si>
  <si>
    <t>(ПКД) №220514, 4977,49</t>
  </si>
  <si>
    <t>(ПКД) №17-14. 5300,00</t>
  </si>
  <si>
    <t>(ПКД) №18-14, 5300</t>
  </si>
  <si>
    <t>(ПКД) №16-14, 4000,00</t>
  </si>
  <si>
    <t>№67, 50400,00</t>
  </si>
  <si>
    <t>в наявності</t>
  </si>
  <si>
    <t>№156, 115260,00</t>
  </si>
  <si>
    <t>№228, 154071,60</t>
  </si>
  <si>
    <t>(ПКД) №16-14, 15000,00</t>
  </si>
  <si>
    <t>№6, 137011,00</t>
  </si>
  <si>
    <t>№155, 442206,00</t>
  </si>
  <si>
    <t>№_  230000,00</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</si>
  <si>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</si>
  <si>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</si>
  <si>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</si>
  <si>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</si>
  <si>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</si>
  <si>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</si>
  <si>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</si>
  <si>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</si>
  <si>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</si>
  <si>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</si>
  <si>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</si>
  <si>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фасаду, заміна вікон та дворової вхідної групи будівлі у.т.ч:</t>
  </si>
  <si>
    <t>ЗОШ Ι-ΙΙΙ № 15(з  ПКД)</t>
  </si>
  <si>
    <t>СШ I-III ступенів №20</t>
  </si>
  <si>
    <t>ЗОШ Ι-ΙΙΙ № 30</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</si>
  <si>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</si>
  <si>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</si>
  <si>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</si>
  <si>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</si>
  <si>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ДНЗ № 59 (з ПКД)(кредиторська заборгованість 2013 року)</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</si>
  <si>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</si>
  <si>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</si>
  <si>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</si>
  <si>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</si>
  <si>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ЗОШ №11 (з ПКД)</t>
  </si>
  <si>
    <t>ЗОШ № 24 (з ПКД)</t>
  </si>
  <si>
    <t>СШ №3 (з ПКД)</t>
  </si>
  <si>
    <t>СШ № 33 (з ПКД)</t>
  </si>
  <si>
    <t>дог.підр.№7 від 23.06.14р. -238922,40грн.; дог.(ПКД) №8-2014 від 02.06.14р. - 4718,27грн.;дог. Автор.нагляду №8-2014-АН від 19.06.14р. - 852,00грн.; дог.тех.нагл. №67 від 27.08.14р.- 3485,00грн.</t>
  </si>
  <si>
    <t>дог.№7/1 від 23.06.14р. - 190081,20грн.; дог.№9-2014 від 02.06.14р. - 4268,62 грн.; дог.№ 9-2014-АН від 19.06.14р. - 852,00грн.; дог.№66 від 27.08.14р. - 2872,00грн.</t>
  </si>
  <si>
    <t>дог.№2991 від 30.05.14р. - 26118,50грн.</t>
  </si>
  <si>
    <t>дог.№30 -29184,00грн.; дог.№6 - 512,00грн.; дог.№10 - 364,35грн.; дол.№39- 20206,00грн.; дог.№8 - 1971,00грн</t>
  </si>
  <si>
    <t>дог.(ПКД) № 51/07-14/П - 2500,00грн.</t>
  </si>
  <si>
    <t>дог.№13 - 7232,40грн.</t>
  </si>
  <si>
    <t>дог.№2/07 від 04.07.14р. - 595749,60грн.; дог. № 1/06 від 19.06.14р. - 1788,00грн.</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</si>
  <si>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</si>
  <si>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</si>
  <si>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</si>
  <si>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</si>
  <si>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</si>
  <si>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</si>
  <si>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</si>
  <si>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</si>
  <si>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</si>
  <si>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</si>
  <si>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</si>
  <si>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колегіум "Берегиня" (з  ПКД)</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</si>
  <si>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</si>
  <si>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</si>
  <si>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</si>
  <si>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</si>
  <si>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</si>
  <si>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</si>
  <si>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вул. Фрунзе від вул. Байди Вишневецького до вул. Піонерської (з ПКД)</t>
  </si>
  <si>
    <t>1.4.1.26</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</si>
  <si>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</si>
  <si>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</si>
  <si>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</si>
  <si>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</si>
  <si>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</si>
  <si>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</si>
  <si>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</si>
  <si>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</si>
  <si>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</si>
  <si>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</si>
  <si>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</si>
  <si>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</si>
  <si>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</si>
  <si>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Надання співфінансування  ОСББ  на виконання капітальних ремонтів</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</si>
  <si>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</si>
  <si>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</si>
  <si>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</si>
  <si>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</si>
  <si>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</si>
  <si>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</si>
  <si>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</si>
  <si>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</si>
  <si>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</si>
  <si>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</si>
  <si>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</si>
  <si>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</si>
  <si>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</si>
  <si>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</si>
  <si>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</si>
  <si>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</si>
  <si>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</si>
  <si>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</si>
  <si>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</si>
  <si>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</si>
  <si>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</si>
  <si>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</si>
  <si>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</si>
  <si>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</si>
  <si>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Придбання побутової техніки  для ДНЗ міста Черкаської міської ради</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</si>
  <si>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</si>
  <si>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</si>
  <si>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</si>
  <si>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</si>
  <si>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</si>
  <si>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</si>
  <si>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</si>
  <si>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</si>
  <si>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</si>
  <si>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Капітальний ремонт внутрішніх мереж опалення (встановлення лічильника тепла) Дитячої школи мистецтв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</si>
  <si>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</si>
  <si>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ЗОШ І-ІІІ ступенів № 18 Черкаської міської ради (заміна вікон) (з ПКД)</t>
  </si>
  <si>
    <t>Капітальний ремонт ЗОШ І-ІІІ ступенів № 28 Черкаської міської ради (заміна вікон) (з ПКД)</t>
  </si>
  <si>
    <t>Внески в статутний капітал КП "Інститут розвитку міста" на придбання оргтехніки ( багатофункціональних пристроїв, копірів, принтерів, сканерів та ін.)</t>
  </si>
  <si>
    <t>Реконструкція дитячого майданчику за адресою вул. Бидгощська, 5 (з ПКД)</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</si>
  <si>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</si>
  <si>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</si>
  <si>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</si>
  <si>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</si>
  <si>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</si>
  <si>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</si>
  <si>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</si>
  <si>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</si>
  <si>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</si>
  <si>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2.6.1.43</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</si>
  <si>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</si>
  <si>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</si>
  <si>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</si>
  <si>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</si>
  <si>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</si>
  <si>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</si>
  <si>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</si>
  <si>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</si>
  <si>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</si>
  <si>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</si>
  <si>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</si>
  <si>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</si>
  <si>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</si>
  <si>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Реконструкція фасаду Першої міської гімназії (кредиторська заборгованість 2013 року)</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</si>
  <si>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</si>
  <si>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</si>
  <si>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</si>
  <si>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</si>
  <si>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</si>
  <si>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38585,76 ТОВ Тамюк дог." 37-2013 від 30,09,2013р.</t>
  </si>
  <si>
    <t>18208,69 ТОВ Матюк дог.№38-2013 від 30,09,2013р.</t>
  </si>
  <si>
    <t>Капітальний ремонт покрівель у житлових будинках (кредиторська заборгованість за 2012 рік)</t>
  </si>
  <si>
    <t>1.1.2.6</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</si>
  <si>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</si>
  <si>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</si>
  <si>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</si>
  <si>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Модернізація спортивних майданчиків загальноосвітніх навчальних закладів</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</si>
  <si>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</si>
  <si>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</si>
  <si>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</si>
  <si>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</si>
  <si>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</si>
  <si>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</si>
  <si>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</si>
  <si>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</si>
  <si>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</si>
  <si>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</si>
  <si>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</si>
  <si>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</si>
  <si>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</si>
  <si>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</si>
  <si>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</si>
  <si>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</si>
  <si>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2.7.1.11</t>
  </si>
  <si>
    <t>Рамкова угода від 28.08.2013 до договору від 28 серпня 2012 №184 з ТОВ "Аерошляхбуд" на суму 3181268,4 грн.</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</si>
  <si>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</si>
  <si>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</si>
  <si>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</si>
  <si>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</si>
  <si>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</si>
  <si>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</si>
  <si>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</si>
  <si>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на будівництво нових мереж зовнішнього освітлення  - алеї від вул. Г. Дніпра до вул. Г. Сталінграда (біля ТРЦ "Дніпро Плаза")</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</si>
  <si>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</si>
  <si>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</si>
  <si>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</si>
  <si>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</si>
  <si>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</si>
  <si>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</si>
  <si>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</si>
  <si>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</si>
  <si>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затверджено перелік об"єктів:рішення ВКЧМРвід 22.07.143694(зі змінами від 06.10.14 №921)</t>
  </si>
  <si>
    <t>Капітальний ремонт мощення ЗОШ І-ІІІ ступенів  № 30 ЧМР (кредиторська заборгованість 2013 року)</t>
  </si>
  <si>
    <t>2.6.1.36</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</si>
  <si>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</si>
  <si>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</si>
  <si>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</si>
  <si>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</si>
  <si>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</si>
  <si>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</si>
  <si>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</si>
  <si>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Міська Програма підвищення кваліфікації кадрів органів місцевого самоврядування м. Черкаси на 2012-2014 роки, у т.ч.:</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</si>
  <si>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</si>
  <si>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</si>
  <si>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</si>
  <si>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</si>
  <si>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</si>
  <si>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</si>
  <si>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</si>
  <si>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</si>
  <si>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</si>
  <si>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</si>
  <si>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</si>
  <si>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</si>
  <si>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ПКД є в наявності, але потребує коригування (додаткові роботи і зміни проектних рішень)</t>
  </si>
  <si>
    <t>д.4-Г/08.08.14 на суму 1934,00</t>
  </si>
  <si>
    <t>д.24-1349-13 від 14.10.13. на суму 942,00;д.2Гвід 08.11.13на суму 86442,00</t>
  </si>
  <si>
    <t>ПКД є в наявності, але на даний час коригується</t>
  </si>
  <si>
    <t>д.14/05.09.13. на суму 14408,00</t>
  </si>
  <si>
    <t>д.17 від 18.10.13. на суму 6963,01</t>
  </si>
  <si>
    <t>д.512 від 04.09.13 на суму 2556,00; д.30-тн від 04.09.13 на суму 11452,64</t>
  </si>
  <si>
    <t>д.№1/05.09.13 на суму 43394,76; д.26П-13 від 05.09.13 на суму 71057,34</t>
  </si>
  <si>
    <t>д. № 1/ 01.10.13 на суму 329709,00-2013рік та на суму 14186,35-2014рік; д.26-тн від 28.08.13,д/у 1 від 30.09.13 на суму 5228,00</t>
  </si>
  <si>
    <t>д.1 від 01.11.2013 на суму 41481,60</t>
  </si>
  <si>
    <t>д.24-1348-13/11.10.13.на суму 1320,00</t>
  </si>
  <si>
    <t>д. 16 від 03.10.13 на суму 17631,25; д.6від 08.11.13 на суму 271956,00</t>
  </si>
  <si>
    <t>д.6-тн/15.05.13 на суму 35888,36</t>
  </si>
  <si>
    <t>д.07-11-13 від  25.11.13. на суму 629592,50</t>
  </si>
  <si>
    <t>д.21 від 25.11.13. на суму 19487,86</t>
  </si>
  <si>
    <t>д.№7/28.08.2013 (10282,61 грн.); д/у 1 від 02.12.13. (зміна суми на 10257,14)на суму 10257,14</t>
  </si>
  <si>
    <t>Черкасиінвестбуд</t>
  </si>
  <si>
    <t>д.2-пр від 08.05.2014.на суму 5978,00; д.24-0450-14 від 10.07.14 на суму 1320,00</t>
  </si>
  <si>
    <t>ПКД є в наявності</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</si>
  <si>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</si>
  <si>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</si>
  <si>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</si>
  <si>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</si>
  <si>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</si>
  <si>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</si>
  <si>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</si>
  <si>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</si>
  <si>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</si>
  <si>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</si>
  <si>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Капітальний ремонт актової зали № 2 корпусу  Дитячої школи мистецтв (з ПКД) (кредиторська заборгованість 2013 року)</t>
  </si>
  <si>
    <t>Придбання музичних інструментів для шкіл естетичного виховання Черкаської міської ради</t>
  </si>
  <si>
    <t>облігації</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</si>
  <si>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</si>
  <si>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</si>
  <si>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</si>
  <si>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</si>
  <si>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</si>
  <si>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</si>
  <si>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</si>
  <si>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</si>
  <si>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</si>
  <si>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</si>
  <si>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</si>
  <si>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</si>
  <si>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</si>
  <si>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</si>
  <si>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Реконструкція існуючих мереж зовнішнього освітлення по вул. Ціолковського (від вул. Золотоніської до вул. Мініна і Пожарського)</t>
  </si>
  <si>
    <t>1.2.4.5</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</si>
  <si>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</si>
  <si>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</si>
  <si>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</si>
  <si>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</si>
  <si>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</si>
  <si>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</si>
  <si>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</si>
  <si>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</si>
  <si>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</si>
  <si>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</si>
  <si>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</si>
  <si>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</si>
  <si>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</si>
  <si>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</si>
  <si>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</si>
  <si>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</si>
  <si>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</si>
  <si>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</si>
  <si>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</si>
  <si>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</si>
  <si>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</si>
  <si>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</si>
  <si>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</si>
  <si>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</si>
  <si>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</si>
  <si>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</si>
  <si>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</si>
  <si>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</si>
  <si>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</si>
  <si>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t>Капітальний ремонт приміщень ДНЗ №90 (з ПКД)</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</si>
  <si>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</si>
  <si>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</si>
  <si>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</si>
  <si>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</si>
  <si>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</si>
  <si>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</si>
  <si>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</si>
  <si>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</si>
  <si>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</si>
  <si>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</si>
  <si>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д.06-11-13 від 18.11.13. на суму 927719,86</t>
  </si>
  <si>
    <t>д.14.1тн від 13.06.14.на суму 3849,00</t>
  </si>
  <si>
    <t xml:space="preserve">д.19 від 28.10.13.; д/у  1/2013 від 30.12.13. (закриття року); д/у 1/2014 від 10.06.14 всього 399326,00 грн., 2013 - 119797,80 грн., 2014 - 279528,20 грн. </t>
  </si>
  <si>
    <t>на капітальний ремонт безгосподарських мереж, в т.ч.:</t>
  </si>
  <si>
    <t>-каналізаційна мережа по вул. Дашковича від вул.Хрещатик до вул. Б.Вишневецького;</t>
  </si>
  <si>
    <t>ДНЗ № 63 вул. Р.Люксембург,216/1</t>
  </si>
  <si>
    <t>ДНЗ № 76 вул. Котовського, 136</t>
  </si>
  <si>
    <t>ДНЗ № 78 вул. Вербовецького, 38</t>
  </si>
  <si>
    <t>д.№730 від 13.12.13.; д/у 1 від 30.12.13. (закриття року); д/у 2 від 10.06.14.-32320,94;д.25від 13.12.13,д/у 1/2013від 30.12.13;д/у 1/2014 від 10.06.14 на сму 274846,00;д.24-0454-14 від 10.07.14 на суму 6404,40</t>
  </si>
  <si>
    <t>ПКД на експертизі</t>
  </si>
  <si>
    <t>д.3-пр від 08.05.2014.на суму 394010,00;д.24-0419-14 від 10.07.14-на суму 4134,00</t>
  </si>
  <si>
    <t>д.№12/18.09.13, д/у 2 від 30.12.13. (закриття року) , д/у 3 від 21.07.14. всього 118713,00 грн., 2013 - 52533,15 грн., 2014 - 66179,85 грн.</t>
  </si>
  <si>
    <t>д.08-вр від 08.08.14. на суму 84309,00</t>
  </si>
  <si>
    <t>4.1.1.9</t>
  </si>
  <si>
    <t>Реконструкція зовнішнього освітлення по вул. Смілянській, 1 в м. Черкаси (з ПКД)</t>
  </si>
  <si>
    <t>Придбання кондиціонерів для департаменту управління справами та юридичного забезпечення</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</si>
  <si>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</si>
  <si>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</si>
  <si>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</si>
  <si>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</si>
  <si>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</si>
  <si>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</si>
  <si>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</si>
  <si>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</si>
  <si>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 xml:space="preserve">на придбання блоків теле-трекера (елементів системи GPS-моніторингу) </t>
  </si>
  <si>
    <t>на придбання каналопромивної машини</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</si>
  <si>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</si>
  <si>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</si>
  <si>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</si>
  <si>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</si>
  <si>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на реконструкцію мереж зовнішнього освітлення пішохідного переходу між вул. Луначарського та вул.Сумгаїтською</t>
  </si>
  <si>
    <t>Придбання GSM-шлюзу для забезпечення автоматичного запису звернень громадян, які надходять до відділу "Оперативна служба" з мобільних</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</si>
  <si>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</si>
  <si>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</si>
  <si>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</si>
  <si>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</si>
  <si>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</si>
  <si>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на реконструкцію мереж зовнішнього освітлення із застосуванням енергозберігаючих технологій</t>
  </si>
  <si>
    <t>Придбання цінного подарунку (велосипеди)</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</si>
  <si>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</si>
  <si>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</si>
  <si>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</si>
  <si>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</si>
  <si>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</si>
  <si>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</si>
  <si>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</si>
  <si>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</si>
  <si>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</si>
  <si>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</si>
  <si>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</si>
  <si>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</si>
  <si>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</si>
  <si>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</si>
  <si>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</si>
  <si>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</si>
  <si>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</si>
  <si>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</si>
  <si>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</si>
  <si>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</si>
  <si>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</si>
  <si>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</si>
  <si>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</si>
  <si>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</si>
  <si>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</si>
  <si>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</si>
  <si>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</si>
  <si>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</si>
  <si>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</si>
  <si>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</si>
  <si>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</si>
  <si>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</si>
  <si>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</si>
  <si>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</si>
  <si>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</si>
  <si>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</si>
  <si>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</si>
  <si>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</si>
  <si>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</si>
  <si>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</si>
  <si>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</si>
  <si>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</si>
  <si>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</si>
  <si>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</si>
  <si>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</si>
  <si>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</si>
  <si>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</si>
  <si>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</si>
  <si>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</si>
  <si>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</si>
  <si>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</si>
  <si>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</si>
  <si>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</si>
  <si>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</si>
  <si>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</si>
  <si>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</si>
  <si>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</si>
  <si>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</si>
  <si>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</si>
  <si>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</si>
  <si>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</si>
  <si>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 xml:space="preserve">на придбання екскаватора </t>
  </si>
  <si>
    <t xml:space="preserve">на придбання приладу для визначення щільності грунта </t>
  </si>
  <si>
    <t>Реконструкція освітлення пішохідної доріжки вздовж будинку № 116/1 по вул. Чорновола від вул. Чорновола до ДНЗ № 37  м. Черкаси (з ПКД)</t>
  </si>
  <si>
    <t>Договір № 41 від09.07.14 рл з ПП "Геобудсервіс Плюс".</t>
  </si>
  <si>
    <t>Експертний звіт №24-0394-14 від 25.06.2014р.</t>
  </si>
  <si>
    <t>Договір № 25/14 з ПП "Геобудсервіс Плюс" на реєстрації в казначействі.</t>
  </si>
  <si>
    <t>Експертний звіт № 24- 0305-14 від 10.06.2014р.</t>
  </si>
  <si>
    <t>Договір № 21 від 11.06.2014 р. з ПП "Геобудсервіс Плюс".</t>
  </si>
  <si>
    <t>Експерний звіт № 24-0308-14 від 10.06.2014р .</t>
  </si>
  <si>
    <t>Договір №40 від  09.07.2014р. З ПП"Геобудсервіс Плюс"</t>
  </si>
  <si>
    <t>Експерний звіт № 24-0396-14 від 25.06.2014р</t>
  </si>
  <si>
    <t>Договір № 26 від 11.06.2014 р. з" Геобудсервіс Плюс"</t>
  </si>
  <si>
    <t xml:space="preserve">Експерний звіт № 24-0304-14 від 10.06.2014р. </t>
  </si>
  <si>
    <t>Договір № 22 від 11.06.201ё4р. З ПП "Геобудсервіс Плюс".</t>
  </si>
  <si>
    <t>Експертний звіт № 24-0306-14 від 10.06.2014 р.</t>
  </si>
  <si>
    <t>договір № 23 від 11.06.2014 р.</t>
  </si>
  <si>
    <t xml:space="preserve">Експерний звіт № 24-0307 -14 від 10.06.2014 р. </t>
  </si>
  <si>
    <t>Договір № 38 від 03.07.2014р з ПП "Геобудсервіс Плюс"</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</si>
  <si>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</si>
  <si>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</si>
  <si>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</si>
  <si>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</si>
  <si>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</si>
  <si>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</si>
  <si>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</si>
  <si>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</si>
  <si>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</si>
  <si>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</si>
  <si>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</si>
  <si>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</si>
  <si>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</si>
  <si>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Реконструкція із застосуванням щебенево-мастичного асфальтобетону вул. Благовісна від вул. Чорновола до вул. Добровольського, м. Черкаси (з ПКД)</t>
  </si>
  <si>
    <t>Загальний обсяг фінансування будівництва*</t>
  </si>
  <si>
    <t>д.4-пр від 08.05.2014.на суму 5606,00;д.24-0442-14 від 10.07.14 на суму 1320,00</t>
  </si>
  <si>
    <t>д.5-пр від 08.05.2014.на суму 5606,00;д.24-0444-14 від 10.07.14 на суму 1320,00</t>
  </si>
  <si>
    <t>д.6-пр від 08.05.2014.на суму 5606,00;д.24-0448-14 від 10.07.14 на суму 1320,00</t>
  </si>
  <si>
    <t>д.7-пр від 08.05.2014.на суму 5606,00;д.24-0447-14 від 10.07.14 на суму 1320,00</t>
  </si>
  <si>
    <t>д.24-1505-13 від 13.11.13. на суму 1320,00</t>
  </si>
  <si>
    <t>д.06 від 22.05.13.на суму 5548,00</t>
  </si>
  <si>
    <t>д.15-тн від 22.05.13 на суму 7780,00</t>
  </si>
  <si>
    <t>д.24-0488-13 від 22.05.13.на суму 1356,00;д.27-08-13 від 04.09.13 на суму 685837,20</t>
  </si>
  <si>
    <t>д.16-10-13 від 08.11.13 на суму 36373,68;д.15-10-13 від 18.11.13 на суму 14988,00;д.24-1584-13 від 04.12.13 на суму 1320,00;д.24-1585-13 від 04.12.13 на суму 1002,00;д.24-1586-13 від 04.12.13 на суму 498,00; д.24-1587-13 від 04.12.13 на суму 396,00;д.24-1626-13 від 10.12.13 на суму 396,00</t>
  </si>
  <si>
    <t>д.32-10-13 від 18.11.13.; д/у 1 від 25.12.13. (зміна суми договору з 69069,00 на 60388,80)</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</si>
  <si>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</si>
  <si>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</si>
  <si>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</si>
  <si>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</si>
  <si>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</si>
  <si>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</si>
  <si>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</si>
  <si>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</si>
  <si>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</si>
  <si>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</si>
  <si>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</si>
  <si>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</si>
  <si>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</si>
  <si>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</si>
  <si>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</si>
  <si>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</si>
  <si>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</si>
  <si>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</si>
  <si>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</si>
  <si>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</si>
  <si>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</si>
  <si>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</si>
  <si>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</si>
  <si>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</si>
  <si>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</si>
  <si>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</si>
  <si>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</si>
  <si>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на будівництво нових мереж зовнішнього освітлення  - алеї від вул. Г. Дніпра до вул. Г. Сталінграда (біля ТРЦ "Дніпро Плаза")</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</si>
  <si>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</si>
  <si>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</si>
  <si>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Придбання музичних інструментів для шкіл естетичного виховання</t>
  </si>
  <si>
    <t>Придбання телевізійної  апаратури для ДМШ № 2</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</si>
  <si>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</si>
  <si>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</si>
  <si>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</si>
  <si>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</si>
  <si>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</si>
  <si>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</si>
  <si>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</si>
  <si>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</si>
  <si>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</si>
  <si>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</si>
  <si>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</si>
  <si>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</si>
  <si>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</si>
  <si>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</si>
  <si>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</si>
  <si>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</si>
  <si>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</si>
  <si>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</si>
  <si>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</si>
  <si>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</si>
  <si>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</si>
  <si>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</si>
  <si>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</si>
  <si>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на реконструкцію котельні Дніпровської водоочисної станції с. Сокирно (виготовлення ПКД)</t>
  </si>
  <si>
    <t>кредиторська заборгованість 13р.</t>
  </si>
  <si>
    <t>документація на експертизі</t>
  </si>
  <si>
    <t>тендер не проведено</t>
  </si>
  <si>
    <t>ПКД розробляється</t>
  </si>
  <si>
    <t>Роботи проводяться без тендеру</t>
  </si>
  <si>
    <t>нове направлення фінансування з 19.08.14р.</t>
  </si>
  <si>
    <t>Договора  у кількості 324 шт. Договір з ПП "СРБП "Черкасиліфт" , ДП "Електромонтаж-424, технагляд, технічне обстеження.</t>
  </si>
  <si>
    <t>ПКД на суму -7323204</t>
  </si>
  <si>
    <t>Ідуть консультації по обстежеженню будинку</t>
  </si>
  <si>
    <t>Договір з ПП "БК ФазіС", технаглядом, авторським наглядом. 336125,14</t>
  </si>
  <si>
    <t>ПКД на суму -337600</t>
  </si>
  <si>
    <t>ПКД на вартість  об"єкту -217648,0грн</t>
  </si>
  <si>
    <t>ПКД на вартість  об"єкту -182688</t>
  </si>
  <si>
    <t>№39 від 13.06.2014; №40 від 13.06.2014</t>
  </si>
  <si>
    <t>ПКД на вартість  об"єкту -127967</t>
  </si>
  <si>
    <t>роботи виконані</t>
  </si>
  <si>
    <t>Подано  і оформлено документів на суму 711130,97 грн/</t>
  </si>
  <si>
    <t>д.1-пр від 08.05.2014.на суму 7421,00; д.24-0449-14 від 10.07.14 на суму 1320,00</t>
  </si>
  <si>
    <t>д. № 1/ 01.10.13 на суму 312161,45;д.26-тн від 28.08.13,д/у 1 від 30.09.13 на суму 4767,80</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</si>
  <si>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</si>
  <si>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</si>
  <si>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</si>
  <si>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</si>
  <si>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</si>
  <si>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</si>
  <si>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експертний звіт від 20 листопада 2012 №24-02891-12/КД року щодо розгляду кошторисної частини проектної документації. Генеральний проектувальник ФОП Мацюк В.А. Вартість 33 041,378 тис.грн.</t>
  </si>
  <si>
    <t>тендерні торги проведені 11.07.2012 переможець ПВП "ЧШРБУ"</t>
  </si>
  <si>
    <t>Дог.№38 від 11.06.2014</t>
  </si>
  <si>
    <t>ПКД від 27.09.2013 №33-13 ІМВ</t>
  </si>
  <si>
    <t>Дог.від 21.05.2012 №134</t>
  </si>
  <si>
    <t>ПКД дог.№07.07.11 від 06.06.2011 Вартість ПКД-98,854 тис.грн.</t>
  </si>
  <si>
    <t>Тендер проведено</t>
  </si>
  <si>
    <t>Договір підряду від 25 жовтня 2011 року з ТОВ "ПРТ Україна" на суму 6887109,00 грн.</t>
  </si>
  <si>
    <t>Договір на проведення ПКД з ТОВ ТЕКС №209 від 26.04.2011 на суму 910000,0</t>
  </si>
  <si>
    <t>Договір підряду №2 від 11.06.2012 з ТОВ "ТЕКС" на суму 359517,00</t>
  </si>
  <si>
    <t xml:space="preserve">Договір на проектні роботи  №1 від 11.06.2012 р. на суму 8359,72 грн. ТОВ "Текс" </t>
  </si>
  <si>
    <t>Договір з ПраТ "Цивільпроект" №48-32-13/14 від 27.06.2014 на суму 54231,18 грн.</t>
  </si>
  <si>
    <t>2.7.1.6</t>
  </si>
  <si>
    <t>Капітальний ремонт приміщень (к.701, 702) у будівлі МВК (вул. Б.Вишневецького, 36) (кредиторська заборгованість 2013 року)</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</si>
  <si>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</si>
  <si>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</si>
  <si>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</si>
  <si>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</si>
  <si>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д. 32-тн від 08.11.13., д/у 1 від 30.12.14. (закритя року), д/у 2 від (перенесення на 2014 рік)на суму 757,03</t>
  </si>
  <si>
    <t>д.82 від 08.08.14 на суму 11883,00</t>
  </si>
  <si>
    <t>дог. 83/07.08.2014 на суму 10765,00</t>
  </si>
  <si>
    <t>д.84/08.08.14 на сумв 10765,00</t>
  </si>
  <si>
    <t>д.39-тн від 17.12.13.на суму 802,00</t>
  </si>
  <si>
    <t>пкд є в наявності</t>
  </si>
  <si>
    <t>д.№9 від 19.08.13., д/у 1 від 30.12.13. (закриття року), д/у 2 від 02.07.14. всього 3480,38 грн., 2013 - 1285,31грн., 2014 - 2195,07 грн.на суму 2195,07;д.1БМ від 21.07.14,д/у 1 від 05.08.14-37318,80; д.2тн.14 від 15.08.14на суму 573,00; д.2ан.14 від 15.08.14 на суму 852,00</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</si>
  <si>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</si>
  <si>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</si>
  <si>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</si>
  <si>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</si>
  <si>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</si>
  <si>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</si>
  <si>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</si>
  <si>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</si>
  <si>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</si>
  <si>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</si>
  <si>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</si>
  <si>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</si>
  <si>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</si>
  <si>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</si>
  <si>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</si>
  <si>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</si>
  <si>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</si>
  <si>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</si>
  <si>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</si>
  <si>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</si>
  <si>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</si>
  <si>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</si>
  <si>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</si>
  <si>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</si>
  <si>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</si>
  <si>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</si>
  <si>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</si>
  <si>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</si>
  <si>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</si>
  <si>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</si>
  <si>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</si>
  <si>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</si>
  <si>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</si>
  <si>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</si>
  <si>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</si>
  <si>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</si>
  <si>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</si>
  <si>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</si>
  <si>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</si>
  <si>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</si>
  <si>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</si>
  <si>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</si>
  <si>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</si>
  <si>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</si>
  <si>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Капітальний ремонт систем гарячого водопостачання (встановлення ІТП) ДНЗ № 89</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</si>
  <si>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</si>
  <si>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</si>
  <si>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</si>
  <si>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</si>
  <si>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</si>
  <si>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</si>
  <si>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</si>
  <si>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</si>
  <si>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</si>
  <si>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</si>
  <si>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</si>
  <si>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t>Загальна вартість об'єкта</t>
  </si>
  <si>
    <t xml:space="preserve">№ та сума договору по об'єкту </t>
  </si>
  <si>
    <t>Наявність ПКД</t>
  </si>
  <si>
    <t>Стадія проведення тендерних процедур</t>
  </si>
  <si>
    <t>№ 111 від 02.12.13 - 75398,64; № 175 від 30.09,13 - 11340,00 грн</t>
  </si>
  <si>
    <t>виконано в повному обсязі</t>
  </si>
  <si>
    <t>№ 37 від 12.12.13 - 86900,00 грн</t>
  </si>
  <si>
    <t>№27 від 26.11.2013 - 6400</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</si>
  <si>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</si>
  <si>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</si>
  <si>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</si>
  <si>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</si>
  <si>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</si>
  <si>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</si>
  <si>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Капітальний ремонт системи каналізації в ЗОШ І-ІІІ ступенів Черкаської міської ради Черкаської області №12 (з ПКД)</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</si>
  <si>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</si>
  <si>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</si>
  <si>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</si>
  <si>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дог.№31 від 30.09.13р. - 78447,6; дог.№41 від 25.11.13р. - 83029,00 грн.; дог.№4 від 18.09.13р. - 4483,00грн.; дог.№11 від 19.11.13р. - 1476,30грн.; дог.№8 від 18.09.13р. - 1971,00грн.</t>
  </si>
  <si>
    <t>подана заявка на торги</t>
  </si>
  <si>
    <t>розроблена</t>
  </si>
  <si>
    <t>проведення торгів не потребує</t>
  </si>
  <si>
    <t>дог.підр.№6/03,05 від 11.08.14р. - 95996,00грн.; дог.тех.нагл. Від 11.08.14р. №5 - 1712,00грн.</t>
  </si>
  <si>
    <t>дог.№4005 від 02.06.14р. - 24775,44грн.</t>
  </si>
  <si>
    <t>дог.№18/13 від 25.03.13р. - 58133,60грн</t>
  </si>
  <si>
    <t>дог. Коригування ПКД №071/05 від 28.05.14р. - 24873,34грн.; дог. Експертизи №24-0684-14 від04.08.14р. - 792.00 грн.</t>
  </si>
  <si>
    <t>дог.№3 від 18.07.14р. - 6234,00грн.; дог.№13 від 21.05.14р. - 370090,00грн.; дог.№2 від 18,07,14р. - 2895,00грн.</t>
  </si>
  <si>
    <t>дог. Тех. Нагл. №6 від 18.06.14р. 4522,00грн.; дог.№8/18.06 від 18.06.14р. - 252478,00грн.</t>
  </si>
  <si>
    <t>дог.№4000 від 30.05.14р. - 25681,63</t>
  </si>
  <si>
    <t>дог.№198/1 від 26.11.13р. - 1500000.00грн</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</si>
  <si>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</si>
  <si>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</si>
  <si>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</si>
  <si>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</si>
  <si>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</si>
  <si>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</si>
  <si>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</si>
  <si>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</si>
  <si>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</si>
  <si>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</si>
  <si>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</si>
  <si>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</si>
  <si>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</si>
  <si>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</si>
  <si>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</si>
  <si>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</si>
  <si>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</si>
  <si>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</si>
  <si>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</si>
  <si>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</si>
  <si>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Капітальний ремонт внутрішніх мереж опалення ДНЗ № 25 (кредиторська заборгованість 2013 року)</t>
  </si>
  <si>
    <t xml:space="preserve">   ДНЗ № 25</t>
  </si>
  <si>
    <t xml:space="preserve">   ДНЗ № 43</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</si>
  <si>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</si>
  <si>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</si>
  <si>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</si>
  <si>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</si>
  <si>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</si>
  <si>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</si>
  <si>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</si>
  <si>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</si>
  <si>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</si>
  <si>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</si>
  <si>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на будівництво мереж зовнішнього освітлення пішохідної алеї від вул. Р. Люксембург (вздовж ЗОШ № 2) до житлового будинку  № 162 по вул. В. Чорновола</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</si>
  <si>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</si>
  <si>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</si>
  <si>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</si>
  <si>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</si>
  <si>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</si>
  <si>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</si>
  <si>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</si>
  <si>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</si>
  <si>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</si>
  <si>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</si>
  <si>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</si>
  <si>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</si>
  <si>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</si>
  <si>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</si>
  <si>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</si>
  <si>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</si>
  <si>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</si>
  <si>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</si>
  <si>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</si>
  <si>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</si>
  <si>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Будівництво добудови спортивного залу школи І-ІІІ ступенів №18 по вул. Нечуй Левицького, 12 в м. Черкаси</t>
  </si>
  <si>
    <t>1.1.2.32</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</si>
  <si>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</si>
  <si>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</si>
  <si>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Придбання світлової конструкції "З Новим роком"</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</si>
  <si>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</si>
  <si>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</si>
  <si>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</si>
  <si>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дог.підряду №14/07-14 від17.07.14р. - 144463,17 грн.; дог.(ПКД)№12/06-14 від 25.06.14р. - 10033,53грн.; дог.тех.нагл. №65 від 27.08.14р. - 2960,00грн.</t>
  </si>
  <si>
    <t>дог.підр. №2 від 03.10.13р. - 880919,54грн.</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</si>
  <si>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</si>
  <si>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</si>
  <si>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</si>
  <si>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</si>
  <si>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</si>
  <si>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</si>
  <si>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</si>
  <si>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</si>
  <si>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</si>
  <si>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</si>
  <si>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</si>
  <si>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</si>
  <si>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ДНЗ № 65</t>
  </si>
  <si>
    <t>ДНЗ № 78</t>
  </si>
  <si>
    <t>ДНЗ № 81</t>
  </si>
  <si>
    <t>Капітальний ремонт майнового комплексу по вул. Героїв Сталінграду, 10, що знаходиться на балансі СШ І-ІІІ ступенів №33 Черкаської міської ради (з ПКД)</t>
  </si>
  <si>
    <t>Придбання та встановлення зупинок громадського транспорту</t>
  </si>
  <si>
    <t>2.6.1.27</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</si>
  <si>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</si>
  <si>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</si>
  <si>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</si>
  <si>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</si>
  <si>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</si>
  <si>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</si>
  <si>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</si>
  <si>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</si>
  <si>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Відсоток завершеності будівництва об'єктів на майбутні роки</t>
  </si>
  <si>
    <t>2.7.1.13</t>
  </si>
  <si>
    <t>Придбання системи сценічного освітлення для Центру дитячої та юнацької творчості</t>
  </si>
  <si>
    <t>2.7.1.22</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</si>
  <si>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</si>
  <si>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</si>
  <si>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</si>
  <si>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Придбання камер дезінфекційних електричних для КЗ "Черкаський міський пологовий будинок "Центр матері та дитини"</t>
  </si>
  <si>
    <t>Придбання біопсійних щипців:</t>
  </si>
  <si>
    <t>Придбання камер дезінфекційних електричних для Черкаської міської дитячої лікарні</t>
  </si>
  <si>
    <t>Капітальний ремонт покрівлі 3-х поверхового лікувального корпусу КНП "Перша Черкаська міська лікарня" ЧМР (з ПКД)</t>
  </si>
  <si>
    <t>Капітальний ремонт гуртожитку по вул. Хоменка, 14 (покрівля та мережі електропостачання) (з ПКД)</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</si>
  <si>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</si>
  <si>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</si>
  <si>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</si>
  <si>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</si>
  <si>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</si>
  <si>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</si>
  <si>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</si>
  <si>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</si>
  <si>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</si>
  <si>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</si>
  <si>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СШ І-ІІІ ступенів № 28 ЧМР (кредиторська заборгованість 2013 року)</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</si>
  <si>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</si>
  <si>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</si>
  <si>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</si>
  <si>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</si>
  <si>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</si>
  <si>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</si>
  <si>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</si>
  <si>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</si>
  <si>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</si>
  <si>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</si>
  <si>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</si>
  <si>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СШ І-ІІІ ступенів  № 27</t>
  </si>
  <si>
    <t>СШ І-ІІІ ступенів  № 33</t>
  </si>
  <si>
    <t>Гімназія №9</t>
  </si>
  <si>
    <t>ЗОШ №15 (з ПКД)</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</si>
  <si>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</si>
  <si>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</si>
  <si>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</si>
  <si>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</si>
  <si>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</si>
  <si>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</si>
  <si>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Реконструкція фасаду Першої міської гімназії (в т.ч. технагляд) (кредиторська заборгованість 2012 року)</t>
  </si>
  <si>
    <t>на реконструкцію існуючих мереж зовнішнього освітлення по вул. Мечникова (від вул. Золотоніської до вул. Геронимівської)</t>
  </si>
  <si>
    <t>5558,880 Дог.№ 1-3 від 15,05,14р. Акт приймання передачі виконаних робіт №1 за травень 14р. ТОВ Моноліт люкс, - 722032 грн.</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</si>
  <si>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</si>
  <si>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</si>
  <si>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</si>
  <si>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</si>
  <si>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</si>
  <si>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Придбання елементів контактної мережі електротранспорту</t>
  </si>
  <si>
    <t>Договір на виготовлення ПКД № 45-32-13 від 12.04.2013 з ПАТ "Черкасицивільпромпроект" на суму 37,48422 тис. грн.</t>
  </si>
  <si>
    <t>Договір №2 від 15 червня 2012 року на суму 846864,69 з ПП "НАДІЯ"</t>
  </si>
  <si>
    <t>Договір на ПКД №29-27-12 на суму 43334,4 з "Черкасицивільпроект"</t>
  </si>
  <si>
    <t>Тендерні торги проведені переможець ПП "Надія"</t>
  </si>
  <si>
    <t>Договір №169 від 26 липня 2012 року на суму 15191564,94 з ПВП "ЧШРБУ"</t>
  </si>
  <si>
    <t>Договір на ПКД №05.05.11/2 з ПП "Мацюк" на суму 296670</t>
  </si>
  <si>
    <t>Тендерні торги проведені переможець ПВП "ЧШРБУ"</t>
  </si>
  <si>
    <t>Рамкова угода від 27 грудня 2012 року №236/1-184 на суму 3845764,80 грн.</t>
  </si>
  <si>
    <t>Договір №22 26 жовтня 2012 з ПП "Мацюк" на суму 28400 грн.</t>
  </si>
  <si>
    <t>18.06.2012 переможець ТОВ "Аерошляхбуд"</t>
  </si>
  <si>
    <t>Договір підряду від 22 серпня 2011 №462 з ПВП "Черкаське шлхове ремонтно-будівельне управління" на суму 1568034,34 грн.</t>
  </si>
  <si>
    <t>Договір від 05.04.11 №29-26-11 ПАТ "Черкасицивільпроект" на суму 1688,311 тис. грн.</t>
  </si>
  <si>
    <t>договір на ПКД в стадії укладання</t>
  </si>
  <si>
    <t>Подано заявку на проведення конкурсних торгів від 04.08.2014 № 1717-01-15 на очукувану вартість - 745 470,00 грн. Тендер відбудеться 02.10.2014</t>
  </si>
  <si>
    <t>кредиторська заборгованість минулого року</t>
  </si>
  <si>
    <t>Експертні звіти затверджені в ДК "Укрдержбудекспертиза" по 13-ти об`єктах на суму 1 225 384,0 грн.</t>
  </si>
  <si>
    <t>не підлягає тендерним процедурам</t>
  </si>
  <si>
    <t>розпочато процедури конкурсних торгів</t>
  </si>
  <si>
    <t>Проект підготовлено (від 20. 08.2014 №09-06-14-РП). 
ПКД знаходиться на експертизі</t>
  </si>
  <si>
    <t>Проектно-кошторисна документація проходить експертизу.</t>
  </si>
  <si>
    <t xml:space="preserve">Рішення ЧМР від 04.06.2014 №568 затверджений перелік зуинок ,  що потребують проведення робіт з капітального ремонту у 2014 році </t>
  </si>
  <si>
    <t>угода в стані підписання</t>
  </si>
  <si>
    <t>Подавалася заявка на тендер. Відсутні учасники</t>
  </si>
  <si>
    <t>ПДК замовлено</t>
  </si>
  <si>
    <t>Договір готується на реєстрацію, вносяться зміни до плану закупівель</t>
  </si>
  <si>
    <t>Експертний звіт № 24-0653-14 від 19.08.2014р.</t>
  </si>
  <si>
    <t>д.09/13 від 08.05.14 на суму 350,00; д.10/13 від 08.05.14на суму 350,00;д.11/13 від 08.05.14 на суму 350,00;д.12/13 від 08.05.14 на суму 350,00; д.13/13 від 08.05.14 на суму 350,00;д.14/13 від 08.05.14 на суму 350,00; д.01/14 від 08.05.14 на суму 350,00; д.02/14 від 08.05.14 на суму 300,00; д.03/14 від 08.05.14 на суму 300,00; д.04/14 від 08.05.14 від 300,00; д.76 від 08.05.14 на суму 441,01; д.15/13 від 26.05.14 на суму 4230,00; д.4-з від 23.05.14 на суму 940,00;д.423 від 13.12.13 від 951,28; д.424 від 13.12.13 на суму 992,50;д.15/оз-14 від 13.06.14 на суму 3400,00</t>
  </si>
  <si>
    <t>д.24/1від 21.10.13 на суму 38050,00;д.24/2 від 21.10.13 на суму 10915,82;д.24/3 від 21.10.13 на суму 2700,00;д.1-з від 26.05.14 на суму 5700,00;д.2-з від 26.05.14 на суму 2800,00;д.3-з від 26.05.13 на суму 7950,00;д.4/13/1 від 12.04.13,д/у від28.05.14 на суму 10356,36;д.1-т від 02.06.14 на суму 5003,15;д.2-т від 02.06.14на суму 15039,90</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</si>
  <si>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</si>
  <si>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</si>
  <si>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</si>
  <si>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</si>
  <si>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</si>
  <si>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</si>
  <si>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</si>
  <si>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</si>
  <si>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</si>
  <si>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</si>
  <si>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</si>
  <si>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Капітальний ремонт систем центрального опалення (заміна трубопроводів тепломереж) у житлових будинках - протяжністю 5989 погонних метрів</t>
  </si>
  <si>
    <t>Реконструкція музичного залу (вікна, стеля, стіни, опалювальна система), ремонт коридорів (стеля, стіни, штукатурка) ДНЗ № 39</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</si>
  <si>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</si>
  <si>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</si>
  <si>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</si>
  <si>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</si>
  <si>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</si>
  <si>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</si>
  <si>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</si>
  <si>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</si>
  <si>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</si>
  <si>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</si>
  <si>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Листопад</t>
  </si>
  <si>
    <t>Грудень</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</si>
  <si>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</si>
  <si>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</si>
  <si>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</si>
  <si>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</si>
  <si>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</si>
  <si>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</si>
  <si>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</si>
  <si>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</si>
  <si>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</si>
  <si>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</si>
  <si>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</si>
  <si>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</si>
  <si>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ЗОШ І-ІІІ ступенів №24(з ПКД)</t>
  </si>
  <si>
    <t>Капітальний ремонт санвузлів гімназії №31   Черкаської міської ради (з ПКД)</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</si>
  <si>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</si>
  <si>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</si>
  <si>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</si>
  <si>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</si>
  <si>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</si>
  <si>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</si>
  <si>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</si>
  <si>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</si>
  <si>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</si>
  <si>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</si>
  <si>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 xml:space="preserve">Капітальний ремонт гуртожитку по вул. Одеська,8/1 (покрівля) (з ПКД) </t>
  </si>
  <si>
    <t>Реконструкція гуртожитків по вул. Одеська, 8-а та вул. Одеська, 8/1 (мережі електропостачання із встановленням приладів обліку) (з ПКД)</t>
  </si>
  <si>
    <t>на реконструкцію шаф І-710 мереж зовнішнього освітлення (117 одиниць)</t>
  </si>
  <si>
    <t>Реконструкція будівлі по вул. 30-річчя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</si>
  <si>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</si>
  <si>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</si>
  <si>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</si>
  <si>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20563,34 ТОВ "Моноліт-люкс" дог. №11-08 від 11,08,14р.</t>
  </si>
  <si>
    <t>155377,80 Дог.№7184 від 22,05,14р. ТОВ "Дитячі та спортивні майданчики"</t>
  </si>
  <si>
    <t>8760,00 дог.№32/1 від 25,10,13р, акт приймання передачі виконаних робіт №32/1 від 01,11,13р. ПП Ларо 2010</t>
  </si>
  <si>
    <t>1368,75. роботи на 2013р.</t>
  </si>
  <si>
    <t>52527,00.  роботи на 2013р.</t>
  </si>
  <si>
    <t>61000грн. Дог.№1-2 від 15,05,14р. ФОП Волинець І.В,</t>
  </si>
  <si>
    <t>2840039,72 роботи 13р.</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</si>
  <si>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</si>
  <si>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</si>
  <si>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</si>
  <si>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</si>
  <si>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</si>
  <si>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</si>
  <si>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</si>
  <si>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</si>
  <si>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</si>
  <si>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</si>
  <si>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</si>
  <si>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</si>
  <si>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</si>
  <si>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</si>
  <si>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</si>
  <si>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</si>
  <si>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</si>
  <si>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</si>
  <si>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</si>
  <si>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</si>
  <si>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</si>
  <si>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</si>
  <si>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</si>
  <si>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</si>
  <si>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</si>
  <si>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укладені договори, подано заявку на фінансування. Не профінансовано.</t>
  </si>
  <si>
    <t>договір підр.№1 від 26.08.2014р. - 88390,91 грн., дог.тех.нагляд №1 від 27.08.2014р.-1388,00грн. Дог (ПКД) №30 від 21.08.2014р.- 5000,00грн., дог. експертна оцінка №24-0231-14 від 22.08.2014р. - 1006,80грн.</t>
  </si>
  <si>
    <t>рамкова угода №195 від 12.08.2014р. - 2780049,60</t>
  </si>
  <si>
    <t>торги проведено</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</si>
  <si>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</si>
  <si>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</si>
  <si>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</si>
  <si>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</si>
  <si>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</si>
  <si>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</si>
  <si>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</si>
  <si>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</si>
  <si>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</si>
  <si>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</si>
  <si>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</si>
  <si>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</si>
  <si>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</si>
  <si>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</si>
  <si>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</si>
  <si>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</si>
  <si>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</si>
  <si>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Реконструкція системи опалення,монтаж вузла обліку тепла  ЗОШ І-ІІІ ступенів№ 30 (з  ПКД)</t>
  </si>
  <si>
    <t>2.6.1.39</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</si>
  <si>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</si>
  <si>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</si>
  <si>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</si>
  <si>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</si>
  <si>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</si>
  <si>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</si>
  <si>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</si>
  <si>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</si>
  <si>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</si>
  <si>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</si>
  <si>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</si>
  <si>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</si>
  <si>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</si>
  <si>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</si>
  <si>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</si>
  <si>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</si>
  <si>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</si>
  <si>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</si>
  <si>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</si>
  <si>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</si>
  <si>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</si>
  <si>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</si>
  <si>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</si>
  <si>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</si>
  <si>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</si>
  <si>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</si>
  <si>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</si>
  <si>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</si>
  <si>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</si>
  <si>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</si>
  <si>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</si>
  <si>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</si>
  <si>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</si>
  <si>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</si>
  <si>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На придбання виробів військового призначення</t>
  </si>
  <si>
    <t>Придбання виробів віськового призначення</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</si>
  <si>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</si>
  <si>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</si>
  <si>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</si>
  <si>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</si>
  <si>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</si>
  <si>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</si>
  <si>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</si>
  <si>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</si>
  <si>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Провести експертну оцінку зупинок громадського транспорту, для визначення балансової вартості об'єкту (257 шт)</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</si>
  <si>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</si>
  <si>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</si>
  <si>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</si>
  <si>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</si>
  <si>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</si>
  <si>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</si>
  <si>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</si>
  <si>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</si>
  <si>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</si>
  <si>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</si>
  <si>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</si>
  <si>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</si>
  <si>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</si>
  <si>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</si>
  <si>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</si>
  <si>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</si>
  <si>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</si>
  <si>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на реконструкцію освітлення житлових будинків по вул.Гоголя, 350  </t>
  </si>
  <si>
    <t xml:space="preserve">на реконструкцію мереж зовнішнього освітлення прибудинкової території житлового будинку № 28 по  вул. 30 років Перемоги  </t>
  </si>
  <si>
    <t>2.6.1.45</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</si>
  <si>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</si>
  <si>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</si>
  <si>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</si>
  <si>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</si>
  <si>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</si>
  <si>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</si>
  <si>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(ПКД)№07/05-14-П, 15232,00; №111 (10/05)-14-о, 5249,47</t>
  </si>
  <si>
    <t>(ПКД)№08/05-14-П, 26629,93; №112(11/05)-14-О, 8389,96</t>
  </si>
  <si>
    <t>(ПКД)№__, 17599,90</t>
  </si>
  <si>
    <t>№230, 212896,8</t>
  </si>
  <si>
    <t>(ПКД)№1/1-15-05-2014, 10667,75</t>
  </si>
  <si>
    <t>(ПКД)№2/1-15-05-2014, 11213,26</t>
  </si>
  <si>
    <t>(ПКД)№3/1-15-05-2014, 10044,27</t>
  </si>
  <si>
    <t>(ПКД)№06/05-14-П, 11652,32; №110(09/05)-14-О, 4040,05</t>
  </si>
  <si>
    <t>Заключається угода на виконання БМР</t>
  </si>
  <si>
    <t>(ПКД) №8-2014, 12127,93</t>
  </si>
  <si>
    <t>(ПКД)№6-2014, 10953,83</t>
  </si>
  <si>
    <t>(ПКД)№7-2014, 9567,40</t>
  </si>
  <si>
    <t>№__, 4800,00</t>
  </si>
  <si>
    <t>проводиться корегування</t>
  </si>
  <si>
    <t>придбано муз. інструменти</t>
  </si>
  <si>
    <t>№__, 161499,00</t>
  </si>
  <si>
    <t>(ПКД)№64-14, 4100,00</t>
  </si>
  <si>
    <t>(ПКД)№09-05-14, 8281,00</t>
  </si>
  <si>
    <t>(ПКД)№07-05-14, 12834,60</t>
  </si>
  <si>
    <t>(ПКД)№03-14, 10000</t>
  </si>
  <si>
    <t>№__, 129486,00</t>
  </si>
  <si>
    <t>№__, 266252,00</t>
  </si>
  <si>
    <t>№__,73463,00</t>
  </si>
  <si>
    <t>дог.№190 від 20.11.13р. - 129478,00грн.</t>
  </si>
  <si>
    <t>дог.№407 від 26.07.13р. - 102939,25грн.</t>
  </si>
  <si>
    <t>рамкова угода№203 від 27,11,13р. - 595000,00грн.</t>
  </si>
  <si>
    <t>рамкова угода№202 від 27,11,13р. - 595000,00грн.</t>
  </si>
  <si>
    <t>рамкова угода№200 від 24,11,13р. - 595000,00грн.</t>
  </si>
  <si>
    <t>рамкова угода№201 від 27,11,13р. - 595000,00грн.</t>
  </si>
  <si>
    <t>дог.№2922 від 18.11.13р. - 13887,50грн</t>
  </si>
  <si>
    <t>подана заявка на проведення торгів</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</si>
  <si>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</si>
  <si>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капітальний ремонт житлового будинку по вул. Гагаріна, 49 в м. Черкаси (заміна трубопроводів теплових мереж) (з ПКД)</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</si>
  <si>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t>
  </si>
  <si>
    <t xml:space="preserve">Капітальний ремонт системи опалення та частини даху приміщення архівного відділу за адресою вул. Благовісна, 170 </t>
  </si>
  <si>
    <t>Придбання персональних комп'ютерів для департаменту управління справами та юридичного забезпечення</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</si>
  <si>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</si>
  <si>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Придбання витяжки для кабінету хімії в ЗОШ І-ІІІ ступенів № 12 ЧМР</t>
  </si>
  <si>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</si>
  <si>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</si>
  <si>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</si>
  <si>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</si>
  <si>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</si>
  <si>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</si>
  <si>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</si>
  <si>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</si>
  <si>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</si>
  <si>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дог№26 від 26,11,13р.  На суму 27768,00</t>
  </si>
  <si>
    <t>дог.№23 від 20,11,13р. На суму 29521,05</t>
  </si>
  <si>
    <t>дог.№3-Г від 08,08,14р. - 2216,00</t>
  </si>
  <si>
    <t>ПКД знаходиться на експертизі</t>
  </si>
  <si>
    <t>не потребує проведення процедури закупівлі</t>
  </si>
  <si>
    <t>буде визначено при отриманні експертного звіту</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</si>
  <si>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</si>
  <si>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</si>
  <si>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</si>
  <si>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</si>
  <si>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</si>
  <si>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</si>
  <si>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</si>
  <si>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</si>
  <si>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</si>
  <si>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</si>
  <si>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</si>
  <si>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</si>
  <si>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</si>
  <si>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Реконструкція системи опалення, монтаж вузла обліку тепла в тепловому пункті ДНЗ № 55 (з ПКД) (кредиторська заборгованість  2012 року за тех. нагляд)</t>
  </si>
  <si>
    <t>Капітальний ремонт приміщень (заміна вікон) ЗОШ І-ІІІ ступенів №21 Черкаської міської ради (з ПКД)</t>
  </si>
  <si>
    <t>Капітальний ремонт приміщень (заміна вікон) ЗОШ І-ІІІ ступенів № 6 (з ПКД)</t>
  </si>
  <si>
    <t>Капітальний ремонт санвузлів ЗОШ І-ІІІ ступенів №21 Черкаської міської ради (з ПКД)</t>
  </si>
  <si>
    <t>1.6.1.2</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</si>
  <si>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</si>
  <si>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</si>
  <si>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</si>
  <si>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</si>
  <si>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</si>
  <si>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профінансова та виконано робіт на 236570,70</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</si>
  <si>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</si>
  <si>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</si>
  <si>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</si>
  <si>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</si>
  <si>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</si>
  <si>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</si>
  <si>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</si>
  <si>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</si>
  <si>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</si>
  <si>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</si>
  <si>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</si>
  <si>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д. 8-пр від 27.06.14.на суму 214887,00; д.</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</si>
  <si>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</si>
  <si>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</si>
  <si>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</si>
  <si>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</si>
  <si>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 xml:space="preserve">Внески в статутний капітал КП "Центральний стадіон", у т.ч.: </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</si>
  <si>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</si>
  <si>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</si>
  <si>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</si>
  <si>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</si>
  <si>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</si>
  <si>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</si>
  <si>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</si>
  <si>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</si>
  <si>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</si>
  <si>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</si>
  <si>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</si>
  <si>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</si>
  <si>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</si>
  <si>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</si>
  <si>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</si>
  <si>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</si>
  <si>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</si>
  <si>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</si>
  <si>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</si>
  <si>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</si>
  <si>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</si>
  <si>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</si>
  <si>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</si>
  <si>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</si>
  <si>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</si>
  <si>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</si>
  <si>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Придбання обладнання для забезпечення  робочих місць адміністраторів ЦНАП електронним зв'язком</t>
  </si>
  <si>
    <t>5.6.1.3</t>
  </si>
  <si>
    <t xml:space="preserve">Придбання сценічних костюмів  для художніх колективів  міського Будинку культури ім.Івана Кулика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</si>
  <si>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</si>
  <si>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</si>
  <si>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</si>
  <si>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</si>
  <si>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</si>
  <si>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</si>
  <si>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</si>
  <si>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</si>
  <si>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</si>
  <si>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</si>
  <si>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д.1Г від 08.11.13., д/у 1/2013  від 30.12.13. (закриття року); д/у 1/2014  від 11.06.14., д/у 3 від 15.08.14  на суму 188632,01; д.36-тн від 20.11.13., д/у 1 від 30.12.13 (закриття року),д/у 2 від 03.07.14 перенесення на 2014 рік-3402,99</t>
  </si>
  <si>
    <t>по вул. Сумгаїтська, 22/1 дефектний акт; по вул. Гайдара, 3 в наявності</t>
  </si>
  <si>
    <t>д.18/13-пр/09.07.13., д/у 1 від 13.08.13. (зміна департаменту), д/у 2 від 30.12.13. (закриття року), д/у 3 від 03.07.14. всього 9712,39 грн., 2013 - 2913,72 грн., 2014 - 6798,67 грн. на суму -6798,67</t>
  </si>
  <si>
    <t>ПКД в стадії розробки</t>
  </si>
  <si>
    <t>СШ І-ІІІ ступенів № 18 -705 268,00грн. СШ І-ІІІ ступенів № 28 Черкаської міської ради - 531 186,00грн.</t>
  </si>
  <si>
    <t>дефектні акти</t>
  </si>
  <si>
    <t>не потребує проведення процедури закупівель</t>
  </si>
  <si>
    <t>Реконструкція покрівлі ДНЗ № 13 (кредиторська заборгованість 2013 року)</t>
  </si>
  <si>
    <t>Реконструкція приміщення актового залу СШ І-ІІІ ступенів № 17 ЧМР (з ПКД)</t>
  </si>
  <si>
    <t>2.6.1.9</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</si>
  <si>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</si>
  <si>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</si>
  <si>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</si>
  <si>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</si>
  <si>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</si>
  <si>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</si>
  <si>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</si>
  <si>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</si>
  <si>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</si>
  <si>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</si>
  <si>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</si>
  <si>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</si>
  <si>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</si>
  <si>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</si>
  <si>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</si>
  <si>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</si>
  <si>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</si>
  <si>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</si>
  <si>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</si>
  <si>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</si>
  <si>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</si>
  <si>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</si>
  <si>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</si>
  <si>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</si>
  <si>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</si>
  <si>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</si>
  <si>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</si>
  <si>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</si>
  <si>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1.2.3.4</t>
  </si>
  <si>
    <t xml:space="preserve">Реконструкція приміщення актового залу в  ЗОШ І-ІІІ ступенів № 29 Черкаської міської ради Черкаської області </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</si>
  <si>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</si>
  <si>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</si>
  <si>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</si>
  <si>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</si>
  <si>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</si>
  <si>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</si>
  <si>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t>№8 від 19.08.13.,  д/у 1 від 30.12.13. (закриття року), д/у 2 від  02.07.14. всього 8283,67 грн., 2013 - 2485,103 грн., 2014 - 5798,57 грн.; д.2БМ від 21.07.14,д/у 1 відж 05.08.14 на суму 143944,80; д.3тн.14 від 15.08.14 на суму 2146,00;д.3ан.14від 15.08.14 на суму-1278,00</t>
  </si>
  <si>
    <t>Рамкова угода 10 від 05.02.14., д/у 05.02.14., д/у 2 від 30.04.14. , д/у 3 від 27.06.14. (зміна реквізитів)на суму 8308550,08</t>
  </si>
  <si>
    <t>Проведено процедуру тендерної закупівлі та укладено рамкову угоду від 05.02.2014 №10</t>
  </si>
  <si>
    <t>д.468,д.у 8/16.10.13., д/у 9 від  20.06.14.(всього 8788583,12 грн., 2014 - 3570313,59)на суму 3570313,59;д/у 178-468 від 30.04.14 на суму 6167289,00; д.34-тн від 18.11.13,д/у 1/2013 від 30.12.14,д/у 2/2014 від 16.07.14 на суму 195938,40;д.1-ан від 16.07.14 на суму 14573,68</t>
  </si>
  <si>
    <t>Проведено процедуру тендерної закупівлі та укладено рамкову угоду від 30.04.2014 №178-468</t>
  </si>
  <si>
    <t>д.03/13-пр від /08.04.13.; д/у 1 від 22.05.13. (зміна календарного графіку); д/у 2 від 13.08.13. (зміна департаменту); д/у 3 від 30.12.13. (закриття року); д/у 4 від 16.06.14. всього: 14897,38грн., 2013 - 6087,71грн., 2014 - 8809,67 грн.; д.07-05-14 від 02.07.14 на суму 961822,80;д.52 від 30.07.14 на суму 1704,00</t>
  </si>
  <si>
    <t>д.6 від 08.11.13.на суму 238188,00;д.24-тн від 08.11.13 на суму 4017,00</t>
  </si>
  <si>
    <t>д.17/13-пр/04.07.13., д/у 1 від 13.08.13 (зміна депаратменту), д/у 2 від 30.12.13. (закриття року), д/у  від  03.07.14. всього 21822,04 грн. , 2013 - 6546,61 грн., 2014 - 15275,43 грн.</t>
  </si>
  <si>
    <t>д.1 від 23.04.13на суму 193213,00; д.13-тн від 22.05.14-5367,00</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</si>
  <si>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</si>
  <si>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</si>
  <si>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</si>
  <si>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</si>
  <si>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</si>
  <si>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</si>
  <si>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</si>
  <si>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</si>
  <si>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</si>
  <si>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</si>
  <si>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</si>
  <si>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спортивного майданчику по вул.Тараскова у дворі будинків №№ 3, 5, 7 м.Черкаси (з ПКД)</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</si>
  <si>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</si>
  <si>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</si>
  <si>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</si>
  <si>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</si>
  <si>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</si>
  <si>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</si>
  <si>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130113</t>
  </si>
  <si>
    <t>Реконструкція дитячих майданчиків у дворі будинків по вул. Гагаріна, 27, 29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</si>
  <si>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</si>
  <si>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</si>
  <si>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</si>
  <si>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</si>
  <si>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</si>
  <si>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</si>
  <si>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</si>
  <si>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</si>
  <si>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</si>
  <si>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</si>
  <si>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</si>
  <si>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</si>
  <si>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</si>
  <si>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</si>
  <si>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</si>
  <si>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</si>
  <si>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</si>
  <si>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</si>
  <si>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</si>
  <si>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</si>
  <si>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</si>
  <si>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</si>
  <si>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</si>
  <si>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</si>
  <si>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д.8-05 від 08.05.14 насуму 14370,00;д.8-06 від 08.05.14 на суму 34440,00; д.8-07 від 08.05.14 на суму 2710,75</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</si>
  <si>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</si>
  <si>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</si>
  <si>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</si>
  <si>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</si>
  <si>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</si>
  <si>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</si>
  <si>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</si>
  <si>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</si>
  <si>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</si>
  <si>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</si>
  <si>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</si>
  <si>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</si>
  <si>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</si>
  <si>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</si>
  <si>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Придбати плити для ДНЗ№ 30</t>
  </si>
  <si>
    <t>1.4.1.21</t>
  </si>
  <si>
    <t>Придбання звукової апаратури для СШ І-ІІІ ступенів  № 33 (кредиторська заборгованість 2013 року)</t>
  </si>
  <si>
    <t>2.6.1.40</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</si>
  <si>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</si>
  <si>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</si>
  <si>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</si>
  <si>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</si>
  <si>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</si>
  <si>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</si>
  <si>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</si>
  <si>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</si>
  <si>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мереж зовнішнього освітлення між житловими будинками № № 17, 19, 19/1, 21, 23 по вул. Сумгаїтській</t>
  </si>
  <si>
    <t xml:space="preserve">на реконструкцію існуючих мереж зовнішнього освітлення по вул.Фрунзе (спуск до вул. Гагаріна) </t>
  </si>
  <si>
    <t>Реконструкція дитячого майданчика по вул. Добровольського,8, в м. Черкаси (з ПКД)</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</si>
  <si>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</si>
  <si>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</si>
  <si>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Придбання обладнання для оцифровки документів в архівному відділу</t>
  </si>
  <si>
    <t>090412</t>
  </si>
  <si>
    <t>010116</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</si>
  <si>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</si>
  <si>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</si>
  <si>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</si>
  <si>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</si>
  <si>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</si>
  <si>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</si>
  <si>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</si>
  <si>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</si>
  <si>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</si>
  <si>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</si>
  <si>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</si>
  <si>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</si>
  <si>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</si>
  <si>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</si>
  <si>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</si>
  <si>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</si>
  <si>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</si>
  <si>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</si>
  <si>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</si>
  <si>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</si>
  <si>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(ПКД)№06/14, 174682,80</t>
  </si>
  <si>
    <t>корегування ПКД (в експертизі)</t>
  </si>
  <si>
    <t>№__, 129311,00</t>
  </si>
  <si>
    <t>№__, 319841,85</t>
  </si>
  <si>
    <t>договір на виконання БМР на погодженні у директора школи</t>
  </si>
  <si>
    <t>№11, 12211,08; №12, 28060,40; №13,  22.718,67</t>
  </si>
  <si>
    <t>№2109, 310920,00</t>
  </si>
  <si>
    <t>№194, 2409003,00</t>
  </si>
  <si>
    <t>№ __, 1980000,00</t>
  </si>
  <si>
    <t>(ПКД)№522/12, 29739,95</t>
  </si>
  <si>
    <t>№47, 305725,20</t>
  </si>
  <si>
    <t>проводиться корегування ПКД</t>
  </si>
  <si>
    <t>14625,00 ФОП Медведенко В.М. дог."1 від 04.06.14р.</t>
  </si>
  <si>
    <t>Капітальний ремонт житлового фонду міської комунальної власності (плановий та позаплановий капітальний ремонт ліфтів )</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</si>
  <si>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</si>
  <si>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</si>
  <si>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</si>
  <si>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</si>
  <si>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</si>
  <si>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</si>
  <si>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</si>
  <si>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</si>
  <si>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</si>
  <si>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</si>
  <si>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 xml:space="preserve">Експерний звіт № 24-0353-14 від 23.06.2014р. </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</si>
  <si>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 (кредиторська заборгованість 2013 року)</t>
  </si>
  <si>
    <t>д.06-11-13 від 18.11.13., д/у №06-11-13-01Д від 30.12.13. від 30.12.14. (закриття року); д/у 06-11-13-1Д від 04.06.14. всього 927719,86грн., 2013 - 643785,99 грн., 2014 - 283933,87 грн. ; д.21-11від 26.11.13,д/у 1 від 30.12.13,д/у 2 від 06.08.14 всього 11000,00;2013р.-4227,00;2014 рік 6773,00</t>
  </si>
  <si>
    <t>д.24-0666-14 від 28.07.2014 на суму 1320,00</t>
  </si>
  <si>
    <t xml:space="preserve">ПКД є в наявності, але потребує коригування </t>
  </si>
  <si>
    <t>д.24-0668-14 від 28.07.2014 на суму 1123,20</t>
  </si>
  <si>
    <t>д.24-0665-14 від 28.07.2014 на суму 1066,80</t>
  </si>
  <si>
    <t>д.24-0667-14 від 28.07.2014 на суму 944,40</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</si>
  <si>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</si>
  <si>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</si>
  <si>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</si>
  <si>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</si>
  <si>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</si>
  <si>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</si>
  <si>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</si>
  <si>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</si>
  <si>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</si>
  <si>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</si>
  <si>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</si>
  <si>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</si>
  <si>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</si>
  <si>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</si>
  <si>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</si>
  <si>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</si>
  <si>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</si>
  <si>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</si>
  <si>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</si>
  <si>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</si>
  <si>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</si>
  <si>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</si>
  <si>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</si>
  <si>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</si>
  <si>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 xml:space="preserve">Розробка проектно-кошторисної документації по об'єкту "Реконструкція полігону твердих побутових відходів" </t>
  </si>
  <si>
    <t>1.1.1.4</t>
  </si>
  <si>
    <t>Реконструкція системи опалення,монтаж вузла обліку тепла  ДНЗ №72  Черкаської міської ради (з ПКД)</t>
  </si>
  <si>
    <t>Капітальний ремонт приміщень (заміна вікон)  ДНЗ № 69, № 89, № 87 (з ПКД)</t>
  </si>
  <si>
    <t xml:space="preserve"> - дихальні апарати експертного класу (апарати ШВЛ)</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</si>
  <si>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</si>
  <si>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фізіотепевтичний апарат комбінованої терапії </t>
  </si>
  <si>
    <t>Придбання стерилізаторів для КНП "Перша міська лікарня" ЧМР</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</si>
  <si>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t>
  </si>
  <si>
    <t>Капітальний ремонт (заміна вікон) КНП "Черкаська міська інфекційна лікарня" Черкаської міської ради  (з ПКД)</t>
  </si>
  <si>
    <t>Капітальний ремонт (заміна вікон) відділення денного стаціонару Черкаської міської дитячої лікарні (з ПКД)</t>
  </si>
  <si>
    <t>На об'єкт "Житловий будинок для сімей з дітьми-інвалідами по вул. Конєва, 15/1, у м. Черкасах - ІІ черга (вбудовано-прибудовані приміщення). Влаштування житлових приміщень - реконструкція"</t>
  </si>
  <si>
    <t xml:space="preserve">Капітальний ремонт житлових будинків (системи гарячого водопостачання з заміною водопідігрівачів та окремих ділянок трубопроводу) (з ПКД) </t>
  </si>
  <si>
    <t xml:space="preserve">Капітальний ремонт житлового будинку по бул. Шевченка,285 (покрівля) (з ПКД) </t>
  </si>
  <si>
    <t xml:space="preserve">Капітальний ремонт житлового будинку по вул. Сєдова,25 (покрівля) (з ПКД) </t>
  </si>
  <si>
    <t>Капітальний ремонті 4-х поверхової будівлі гуртожитку-казарми за адресою вул. Хоменка, 19 (покрівля) (з ПКД)</t>
  </si>
  <si>
    <t xml:space="preserve"> Капітальний ремонт гуртожитку по вул. Одеська,8-а (покрівля) (з ПКД) </t>
  </si>
  <si>
    <t>(ПКД)№15-14, 1500,00</t>
  </si>
  <si>
    <t>№154, 402165,60</t>
  </si>
  <si>
    <t>(ПКД)03-05--14, 5810,00</t>
  </si>
  <si>
    <t>корегування ПКД(в експертизі)</t>
  </si>
  <si>
    <t>(ПКД)№7-2014, 7738,21</t>
  </si>
  <si>
    <t>(ПКД)№8-2014, 7683,22</t>
  </si>
  <si>
    <t>(ПКД)№06-05-14, 17353,00</t>
  </si>
  <si>
    <t>(ПКД)№22-14, 4000,00</t>
  </si>
  <si>
    <t>(ПКД)10-05-14, 11972,36</t>
  </si>
  <si>
    <t>(ПКД)№9-2014, 7965,52</t>
  </si>
  <si>
    <t>(ПКД)№50-14, 12822,29</t>
  </si>
  <si>
    <t>№1300627, 179716,80</t>
  </si>
  <si>
    <t>подано заявку</t>
  </si>
  <si>
    <t>№196, 990143,00</t>
  </si>
  <si>
    <t>(ПКД)№52-14, 17908,16</t>
  </si>
  <si>
    <t>вигоговляється</t>
  </si>
  <si>
    <t>(ПКД)№51-14, 20265,96</t>
  </si>
  <si>
    <t>№__, 980203,80</t>
  </si>
  <si>
    <t>(ПКД)№20-14-4000, 5300,00</t>
  </si>
  <si>
    <t>(ПКД)№31-14, 7676,40</t>
  </si>
  <si>
    <t>№5, 589270,12</t>
  </si>
  <si>
    <t xml:space="preserve">(ПКД)№19-14, 5150,00 </t>
  </si>
  <si>
    <t>№235, 964988,40</t>
  </si>
  <si>
    <t>№236, 732400,00</t>
  </si>
  <si>
    <t>На придбання обладнання та предметів довгострокового користування для забеспечення потреб військовослужбовців</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</si>
  <si>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</si>
  <si>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</si>
  <si>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</si>
  <si>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</si>
  <si>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</si>
  <si>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</si>
  <si>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</si>
  <si>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</si>
  <si>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Добудова тренувального футбольного поля з штучним покриттям на території спортивного комплексу  по вул. Ярославській, 5 (з освітленням)</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</si>
  <si>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</si>
  <si>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</si>
  <si>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</si>
  <si>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</si>
  <si>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Реконструкція об'єкту благоустрою на розі вул. Хрещатик та вул. Кірова в м. Черкаси (Площа Слави) (з ПКД)</t>
  </si>
  <si>
    <t>Реконструкція частини приміщень по вул. Благовісній,170 під міський архів (з ПКД)</t>
  </si>
  <si>
    <t>Внески в статутний капітал КП "СУБ "Митниця", в т.ч.:</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</si>
  <si>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</si>
  <si>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</si>
  <si>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</si>
  <si>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</si>
  <si>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</si>
  <si>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</si>
  <si>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</si>
  <si>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</si>
  <si>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 xml:space="preserve">Капітальні видатки </t>
  </si>
  <si>
    <t>4.3.1.14</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</si>
  <si>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</si>
  <si>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</si>
  <si>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</si>
  <si>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</si>
  <si>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</si>
  <si>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</si>
  <si>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</si>
  <si>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</si>
  <si>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</si>
  <si>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</si>
  <si>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</si>
  <si>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</si>
  <si>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</si>
  <si>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</si>
  <si>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</si>
  <si>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</si>
  <si>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</si>
  <si>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</si>
  <si>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</si>
  <si>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</si>
  <si>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</si>
  <si>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</si>
  <si>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</si>
  <si>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Придбання сценічного одягу для концертного залу  Черкаського міського Будинку культури ім.Івана Кулика</t>
  </si>
  <si>
    <t>2.7.1.9</t>
  </si>
  <si>
    <t>на реконструкцію існуючих мереж зовнішнього освітлення по вул. Ціолковського (від вул. Золотоніської до вул. Мініна і Пожарського)</t>
  </si>
  <si>
    <t>Реконструкція існуючих мереж зовнішнього освітлення по вул. Мечникова (від вул. Золотоніської до вул. Геронимівської)</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</si>
  <si>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</si>
  <si>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</si>
  <si>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</si>
  <si>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</si>
  <si>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</si>
  <si>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</si>
  <si>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входу з облаштуванням пандусу в Черкаській міській дитячій лікарні по вул. Конєва, 4 (поліклініка № 3) </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</si>
  <si>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</si>
  <si>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</si>
  <si>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</si>
  <si>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</si>
  <si>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</si>
  <si>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</si>
  <si>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</si>
  <si>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</si>
  <si>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</si>
  <si>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</si>
  <si>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</si>
  <si>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</si>
  <si>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</si>
  <si>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</si>
  <si>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</si>
  <si>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</si>
  <si>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</si>
  <si>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</si>
  <si>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</si>
  <si>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</si>
  <si>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</si>
  <si>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</si>
  <si>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</si>
  <si>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</si>
  <si>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</si>
  <si>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</si>
  <si>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</si>
  <si>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</si>
  <si>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</si>
  <si>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</si>
  <si>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</si>
  <si>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</si>
  <si>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</si>
  <si>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№28 від 28.11.13 - 24480 грн</t>
  </si>
  <si>
    <t>дія запланована на жовтень-листопад</t>
  </si>
  <si>
    <t>дія запланована на грудень</t>
  </si>
  <si>
    <t>№37 від 11.08.14 -15680,40 грн; №38 від 11.08.14 - 24315 грн</t>
  </si>
  <si>
    <t>№ 48 від 04.08.14 р.</t>
  </si>
  <si>
    <t>25.09.14 - заплановано відкриття пропозицій</t>
  </si>
  <si>
    <t>№140620 на 42000 грн</t>
  </si>
  <si>
    <t>без процедури закупівлі</t>
  </si>
  <si>
    <t>№5-07/14 на 3529 грн</t>
  </si>
  <si>
    <t>договір № 510/13 від 20.12.13р. №3 від 26.03.13р, - 1672,35грн</t>
  </si>
  <si>
    <t>подано заявку на торги</t>
  </si>
  <si>
    <t>договір №2929 від 29.11.13р. 4260,64</t>
  </si>
  <si>
    <t>дог. Підр. №36 від 30,10,13р. - 172175,00 грн., дог. Тех.нагляд. № 9 від 18.12.13р. - 3153,60</t>
  </si>
  <si>
    <t xml:space="preserve">Розробка проектно-кошторисної документації «Капітальний ремонт вул. Вербовецького від вул. Толстого до вул. Портової» </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</si>
  <si>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</si>
  <si>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</si>
  <si>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</si>
  <si>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</si>
  <si>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</si>
  <si>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</si>
  <si>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</si>
  <si>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</si>
  <si>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Капітальний ремонт асфальтового покриття двору ДНЗ №1</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</si>
  <si>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</si>
  <si>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</si>
  <si>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</si>
  <si>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</si>
  <si>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</si>
  <si>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</si>
  <si>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на реконструкцію освітлення житлових будинків по вул. Богдана Хмельницького, 43   </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</si>
  <si>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</si>
  <si>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</si>
  <si>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</si>
  <si>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</si>
  <si>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</si>
  <si>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</si>
  <si>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</si>
  <si>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</si>
  <si>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</si>
  <si>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</si>
  <si>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</si>
  <si>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</si>
  <si>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</si>
  <si>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</si>
  <si>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</si>
  <si>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</si>
  <si>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</si>
  <si>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</si>
  <si>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</si>
  <si>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</si>
  <si>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</si>
  <si>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</si>
  <si>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</si>
  <si>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</si>
  <si>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</si>
  <si>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</si>
  <si>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</si>
  <si>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 xml:space="preserve">Капітальні вкладення
</t>
  </si>
  <si>
    <t>д. 23 від 20.11.13., д/у 1/2013 від 30.12.13.(закриття року); д/у 1/2014 від 10.06.14. всього 29521,05, 2013 - 8856,32, 2014 - 20664,73.</t>
  </si>
  <si>
    <t>д.11-тн /06.03.13. на суму 15052,00</t>
  </si>
  <si>
    <t>д.2/23.04.13.; д/у 2 від 15.11.13. (зміна терміну авансу до 25.12.13.) на суму 204385,39</t>
  </si>
  <si>
    <t>д.29-тн/02.09.13 на суму 1793,90; д.5 від 28.08.13 (99945,00), д/у 1 від 14.11.13 (зміна терміну авансу),д/у 2 від 02.12.13 (зміна суми на 99151,20) на суму 99151,20; д.24-1421-13 від 28.10.13 на суму 1320,00;д.24-1488-13(24-0010-13) від 11.11.2013 на суму-252,00</t>
  </si>
  <si>
    <t>ПДК в наявності</t>
  </si>
  <si>
    <t>Не потребує проведення процедури закупівель</t>
  </si>
  <si>
    <t>по вул. Сумгаїтська, 22/1 - 248 770,00грн.; по вул. Гайдара, 3 -  120 371,00грн.</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</si>
  <si>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</si>
  <si>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</si>
  <si>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</si>
  <si>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</si>
  <si>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</si>
  <si>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</si>
  <si>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</si>
  <si>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</si>
  <si>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</si>
  <si>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</si>
  <si>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</si>
  <si>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</si>
  <si>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</si>
  <si>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</si>
  <si>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</si>
  <si>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</si>
  <si>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</si>
  <si>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Реконструкція спортивного майданчику ЗОШ №8 (з ПКД)</t>
  </si>
  <si>
    <t>100106</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</si>
  <si>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</si>
  <si>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 xml:space="preserve">Проведення каналізації до ЗОШ І-ІІІ ступенів № 29 Черкаської міської ради Черкаської області </t>
  </si>
  <si>
    <t>на реконструкцію мереж зовнішнього освітлення вул. Хрещатик (від вул. Пушкіна до вул. Пролетарської)</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</si>
  <si>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</si>
  <si>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</si>
  <si>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</si>
  <si>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 xml:space="preserve"> - розроблення та затвердження концепції реконструкції вул. Хрещатик від вул. Котовського до вул. Леніна</t>
  </si>
  <si>
    <t>5.4.2.4</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</si>
  <si>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</si>
  <si>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</si>
  <si>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</si>
  <si>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</si>
  <si>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</si>
  <si>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</si>
  <si>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</si>
  <si>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</si>
  <si>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</si>
  <si>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</si>
  <si>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</si>
  <si>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</si>
  <si>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</si>
  <si>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</si>
  <si>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</si>
  <si>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</si>
  <si>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</si>
  <si>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</si>
  <si>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Капітальний ремонт внутрішніх мереж опалення (заміна бойлера) ЗОШ І-ІІІ ступенів №12 (з ПКД)</t>
  </si>
  <si>
    <t>13-тн/22.05.13., д/у 1 від 08.07.13 (зміна реквізитів), д/у 2 від 13.08.13. (зміна департаментів), д/у 3 від 30.12.13. (закінчення року), д/у 4 від всього 5367,00 грн., 2013 - 936,11 грн., 2014 - 4430,89 грн.;д.7від 10.06.14 на суму 15202,00</t>
  </si>
  <si>
    <t>д.5 від 08.11.13., д/у 1 від 30.12.13.(закриття року) , д/у 2 від 23.06.14. 2013 - 74870,94 грн., 2014 - 275844,00 грн.;д.33-тн від 20.11.13,д/у2013-від 30.12.13,д/у2-11532,15,2014рік-10479,43</t>
  </si>
  <si>
    <t>д.491/08.10.13 на суму 4976,36</t>
  </si>
  <si>
    <t>д.947 від 17.10.13 на суму 79,36</t>
  </si>
  <si>
    <t>договір (ПКД) №32-14 від 01,09,14 р. на суму 29196,00 грн</t>
  </si>
  <si>
    <t>дог. № 12/26,08 від 01,10,14р. На суму 52872,00 грн., дог.№10 від 25,09,14р. (тех.нагл.) на суму 911,20 грн</t>
  </si>
  <si>
    <t xml:space="preserve">розроблена, , </t>
  </si>
  <si>
    <t>дог.№47 від 13,10,14р. - 20940,00 грн</t>
  </si>
  <si>
    <t>дог.№150від 23,10,14р. - 47450,00грн.</t>
  </si>
  <si>
    <t>дог.№189 99675,00грн</t>
  </si>
  <si>
    <t>дог.№141021/7 від 22,10,14 - 40000,00 грн.</t>
  </si>
  <si>
    <t>дог.№301001 від 31,10,14 - 5099,90грн.</t>
  </si>
  <si>
    <t>знайдено підрядника, здані документи на  виготовлення ПКД</t>
  </si>
  <si>
    <t>№21 від 18,09,14р. - 19998,96 грн</t>
  </si>
  <si>
    <t>по договору №21 виконано в повному обсязі. Видатки в сумі 10,0 тис.грн заплановані на грудень</t>
  </si>
  <si>
    <t>№22 від 09,10,14р. - 11866,6 грн</t>
  </si>
  <si>
    <t>не профінансовано</t>
  </si>
  <si>
    <t>№23 від 09,10,14р. - 9988,0 грн.</t>
  </si>
  <si>
    <t>пкд виготовляється</t>
  </si>
  <si>
    <t>ПКД виготовлено, 105,595 тис.грн</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</si>
  <si>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</si>
  <si>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</si>
  <si>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Придбання діагностичного комплексу "Кардіо-рео" для КНП "Перша Черкаська міська поліклініка" Черкаської міської ради</t>
  </si>
  <si>
    <t>4.1.2.2</t>
  </si>
  <si>
    <t>Придбання зонту витяжного на харчоблок для ДНЗ №63 (кредиторська заборгованість за 2012 рік)</t>
  </si>
  <si>
    <t>2.7.1.2</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</si>
  <si>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</si>
  <si>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</si>
  <si>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</si>
  <si>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</si>
  <si>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</si>
  <si>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</si>
  <si>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</si>
  <si>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</si>
  <si>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Придбання обладнання для кіно-відеопрокату Черкаського міського Палацу молоді</t>
  </si>
  <si>
    <t>"Централізовані бухгалтерії"</t>
  </si>
  <si>
    <t xml:space="preserve">Придбання комп'ютерної, копіювальної техніки  для централізованої бухгалтерії №4 </t>
  </si>
  <si>
    <t>Інші культурно-освітні заклади та заходи</t>
  </si>
  <si>
    <t>Придбання автоматичного регулятора температури для дитячої поліклініки № 1 Черкаської міської дитячої лікарні</t>
  </si>
  <si>
    <t>Капітальний ремонт системи теплопостачання майнового комплексу по вул. Благовісна, 170</t>
  </si>
  <si>
    <t>Капітальний ремонт гуртожитку по вул. Хоменка, 14 (заміна насосів холодного водопостачання) (з ПКД)</t>
  </si>
  <si>
    <t>Капітальний ремонт покрівель  ДНЗ№ 73 (з ПДК)</t>
  </si>
  <si>
    <t>Реконструкція дитячих та спортивних майданчіків по вул. Героїв Сталінграда, 20,22 (з ПКД)</t>
  </si>
  <si>
    <t>Реконструкція дитячих та спортивних майданчіків по вул. Козацька, 5,7 (з ПКД)</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</si>
  <si>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</si>
  <si>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ДНЗ №37 (заміна вікон) (з ПКД)</t>
  </si>
  <si>
    <t xml:space="preserve">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</si>
  <si>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</si>
  <si>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</si>
  <si>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</si>
  <si>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</si>
  <si>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</si>
  <si>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Договір від 13.09.2013 №25 ПП "Надія" 89 1418 грн.</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</si>
</sst>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cellStyleXfs>
  <cellXfs count="700">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4" fontId="5" fillId="25" borderId="10" xfId="0" applyNumberFormat="1" applyFont="1" applyFill="1" applyBorder="1" applyAlignment="1">
      <alignment horizontal="center" vertical="center"/>
    </xf>
    <xf numFmtId="4" fontId="5" fillId="25" borderId="10" xfId="60" applyNumberFormat="1" applyFont="1" applyFill="1" applyBorder="1" applyAlignment="1">
      <alignment horizontal="center" vertical="center"/>
      <protection/>
    </xf>
    <xf numFmtId="0" fontId="4" fillId="25" borderId="10" xfId="63" applyFont="1" applyFill="1" applyBorder="1" applyAlignment="1">
      <alignment horizontal="left" vertical="top" wrapText="1"/>
      <protection/>
    </xf>
    <xf numFmtId="4" fontId="5" fillId="26" borderId="10" xfId="59" applyNumberFormat="1" applyFont="1" applyFill="1" applyBorder="1" applyAlignment="1">
      <alignment horizontal="center" vertical="center"/>
      <protection/>
    </xf>
    <xf numFmtId="4" fontId="5" fillId="26" borderId="10" xfId="0" applyNumberFormat="1" applyFont="1" applyFill="1" applyBorder="1" applyAlignment="1">
      <alignment horizontal="center" vertical="center"/>
    </xf>
    <xf numFmtId="4" fontId="5" fillId="26" borderId="10" xfId="60" applyNumberFormat="1" applyFont="1" applyFill="1" applyBorder="1" applyAlignment="1">
      <alignment horizontal="center" vertical="center"/>
      <protection/>
    </xf>
    <xf numFmtId="0" fontId="4" fillId="0" borderId="10" xfId="60" applyFont="1" applyFill="1" applyBorder="1" applyAlignment="1">
      <alignment horizontal="center" vertical="center" wrapText="1"/>
      <protection/>
    </xf>
    <xf numFmtId="0" fontId="10" fillId="0" borderId="10" xfId="60" applyFont="1" applyFill="1" applyBorder="1">
      <alignment/>
      <protection/>
    </xf>
    <xf numFmtId="0" fontId="10" fillId="0" borderId="10" xfId="60" applyFill="1" applyBorder="1">
      <alignment/>
      <protection/>
    </xf>
    <xf numFmtId="0" fontId="30" fillId="0" borderId="10" xfId="60" applyFont="1" applyFill="1" applyBorder="1">
      <alignment/>
      <protection/>
    </xf>
    <xf numFmtId="0" fontId="19" fillId="0" borderId="10" xfId="60" applyFont="1" applyFill="1" applyBorder="1">
      <alignment/>
      <protection/>
    </xf>
    <xf numFmtId="0" fontId="36" fillId="0" borderId="10" xfId="60" applyFont="1" applyFill="1" applyBorder="1">
      <alignment/>
      <protection/>
    </xf>
    <xf numFmtId="0" fontId="37" fillId="0" borderId="10" xfId="60" applyFont="1" applyFill="1" applyBorder="1">
      <alignment/>
      <protection/>
    </xf>
    <xf numFmtId="0" fontId="10" fillId="0" borderId="10" xfId="60" applyBorder="1">
      <alignment/>
      <protection/>
    </xf>
    <xf numFmtId="0" fontId="34" fillId="0" borderId="10" xfId="60" applyFont="1" applyFill="1" applyBorder="1">
      <alignment/>
      <protection/>
    </xf>
    <xf numFmtId="0" fontId="19" fillId="0" borderId="10" xfId="60" applyFont="1" applyFill="1" applyBorder="1" applyAlignment="1">
      <alignment horizontal="center" vertical="center" wrapText="1"/>
      <protection/>
    </xf>
    <xf numFmtId="0" fontId="10" fillId="0" borderId="10" xfId="60" applyFont="1" applyFill="1" applyBorder="1" applyAlignment="1">
      <alignment horizontal="center" vertical="center" wrapText="1"/>
      <protection/>
    </xf>
    <xf numFmtId="0" fontId="10" fillId="0" borderId="10" xfId="60" applyFill="1" applyBorder="1" applyAlignment="1">
      <alignment horizontal="center" vertical="center" wrapText="1"/>
      <protection/>
    </xf>
    <xf numFmtId="0" fontId="22" fillId="0" borderId="10" xfId="60" applyFont="1" applyFill="1" applyBorder="1" applyAlignment="1">
      <alignment horizontal="center" vertical="center" wrapText="1"/>
      <protection/>
    </xf>
    <xf numFmtId="0" fontId="30" fillId="0" borderId="10" xfId="60" applyFont="1" applyFill="1" applyBorder="1" applyAlignment="1">
      <alignment horizontal="center" vertical="center" wrapText="1"/>
      <protection/>
    </xf>
    <xf numFmtId="0" fontId="36" fillId="0" borderId="10" xfId="60" applyFont="1" applyFill="1" applyBorder="1" applyAlignment="1">
      <alignment horizontal="center" vertical="center" wrapText="1"/>
      <protection/>
    </xf>
    <xf numFmtId="4" fontId="10" fillId="0" borderId="10" xfId="60" applyNumberFormat="1" applyFont="1" applyFill="1" applyBorder="1" applyAlignment="1">
      <alignment horizontal="center" vertical="center" wrapText="1"/>
      <protection/>
    </xf>
    <xf numFmtId="4" fontId="10" fillId="0" borderId="10" xfId="60" applyNumberFormat="1" applyFill="1" applyBorder="1" applyAlignment="1">
      <alignment horizontal="center" vertical="center" wrapText="1"/>
      <protection/>
    </xf>
    <xf numFmtId="4" fontId="22" fillId="0" borderId="10" xfId="60" applyNumberFormat="1" applyFont="1" applyFill="1" applyBorder="1" applyAlignment="1">
      <alignment horizontal="center" vertical="center" wrapText="1"/>
      <protection/>
    </xf>
    <xf numFmtId="4" fontId="4" fillId="0" borderId="10" xfId="60" applyNumberFormat="1" applyFont="1" applyFill="1" applyBorder="1" applyAlignment="1">
      <alignment horizontal="center" vertical="center" wrapText="1"/>
      <protection/>
    </xf>
    <xf numFmtId="4" fontId="30" fillId="0" borderId="10" xfId="60" applyNumberFormat="1" applyFont="1" applyFill="1" applyBorder="1" applyAlignment="1">
      <alignment horizontal="center" vertical="center" wrapText="1"/>
      <protection/>
    </xf>
    <xf numFmtId="4" fontId="19" fillId="0" borderId="10" xfId="60" applyNumberFormat="1" applyFont="1" applyFill="1" applyBorder="1" applyAlignment="1">
      <alignment horizontal="center" vertical="center" wrapText="1"/>
      <protection/>
    </xf>
    <xf numFmtId="4" fontId="36" fillId="0" borderId="10" xfId="60" applyNumberFormat="1" applyFont="1" applyFill="1" applyBorder="1" applyAlignment="1">
      <alignment horizontal="center" vertical="center" wrapText="1"/>
      <protection/>
    </xf>
    <xf numFmtId="4" fontId="10" fillId="25" borderId="10" xfId="60" applyNumberFormat="1" applyFill="1" applyBorder="1" applyAlignment="1">
      <alignment horizontal="center" vertical="center" wrapText="1"/>
      <protection/>
    </xf>
    <xf numFmtId="0" fontId="10" fillId="25" borderId="10" xfId="60" applyFill="1" applyBorder="1" applyAlignment="1">
      <alignment horizontal="center" vertical="center" wrapText="1"/>
      <protection/>
    </xf>
    <xf numFmtId="4" fontId="19" fillId="25" borderId="10" xfId="60" applyNumberFormat="1" applyFont="1" applyFill="1" applyBorder="1" applyAlignment="1">
      <alignment horizontal="center" vertical="center" wrapText="1"/>
      <protection/>
    </xf>
    <xf numFmtId="0" fontId="19" fillId="25" borderId="10" xfId="60" applyFont="1" applyFill="1" applyBorder="1" applyAlignment="1">
      <alignment horizontal="center" vertical="center" wrapText="1"/>
      <protection/>
    </xf>
    <xf numFmtId="4" fontId="10" fillId="0" borderId="10" xfId="60" applyNumberFormat="1" applyFont="1" applyBorder="1" applyAlignment="1">
      <alignment horizontal="center" vertical="center" wrapText="1"/>
      <protection/>
    </xf>
    <xf numFmtId="0" fontId="10" fillId="0" borderId="10" xfId="60" applyFont="1" applyBorder="1" applyAlignment="1">
      <alignment horizontal="center" vertical="center" wrapText="1"/>
      <protection/>
    </xf>
    <xf numFmtId="0" fontId="35" fillId="0" borderId="10" xfId="60" applyFont="1" applyFill="1" applyBorder="1" applyAlignment="1">
      <alignment vertical="center" wrapText="1"/>
      <protection/>
    </xf>
    <xf numFmtId="0" fontId="4" fillId="25" borderId="10" xfId="55" applyFont="1" applyFill="1" applyBorder="1" applyAlignment="1">
      <alignment horizontal="left" vertical="top" wrapText="1"/>
      <protection/>
    </xf>
    <xf numFmtId="0" fontId="4" fillId="0" borderId="10" xfId="55" applyFont="1" applyFill="1" applyBorder="1" applyAlignment="1">
      <alignment horizontal="left" vertical="top" wrapText="1"/>
      <protection/>
    </xf>
    <xf numFmtId="0" fontId="4" fillId="0" borderId="10" xfId="58" applyFont="1" applyFill="1" applyBorder="1" applyAlignment="1">
      <alignment horizontal="left" vertical="top" wrapText="1" indent="2"/>
      <protection/>
    </xf>
    <xf numFmtId="4" fontId="4" fillId="0" borderId="10" xfId="0" applyNumberFormat="1" applyFont="1" applyFill="1" applyBorder="1" applyAlignment="1">
      <alignment horizontal="center" vertical="center" wrapText="1"/>
    </xf>
    <xf numFmtId="0" fontId="4" fillId="25" borderId="10" xfId="58" applyFont="1" applyFill="1" applyBorder="1" applyAlignment="1">
      <alignment horizontal="left" vertical="top" wrapText="1" indent="2"/>
      <protection/>
    </xf>
    <xf numFmtId="0" fontId="4" fillId="0" borderId="10" xfId="0" applyFont="1" applyFill="1" applyBorder="1" applyAlignment="1">
      <alignment horizontal="left" wrapText="1" indent="2"/>
    </xf>
    <xf numFmtId="4" fontId="3" fillId="0" borderId="10" xfId="0" applyNumberFormat="1" applyFont="1" applyFill="1" applyBorder="1" applyAlignment="1">
      <alignment horizontal="center" vertical="center" wrapText="1"/>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4" fontId="10" fillId="0" borderId="11" xfId="60" applyNumberFormat="1" applyFont="1" applyFill="1" applyBorder="1" applyAlignment="1">
      <alignment horizontal="center" vertical="center" wrapText="1"/>
      <protection/>
    </xf>
    <xf numFmtId="0" fontId="4" fillId="0" borderId="13" xfId="59" applyFont="1" applyFill="1" applyBorder="1" applyAlignment="1">
      <alignment vertical="top" wrapText="1"/>
      <protection/>
    </xf>
    <xf numFmtId="0" fontId="4" fillId="0" borderId="12" xfId="59" applyFont="1" applyFill="1" applyBorder="1" applyAlignment="1">
      <alignment vertical="top" wrapText="1"/>
      <protection/>
    </xf>
    <xf numFmtId="0" fontId="4" fillId="0" borderId="14" xfId="59" applyFont="1" applyFill="1" applyBorder="1" applyAlignment="1">
      <alignment vertical="top" wrapText="1"/>
      <protection/>
    </xf>
    <xf numFmtId="4" fontId="10" fillId="0" borderId="0" xfId="60" applyNumberFormat="1" applyFill="1">
      <alignment/>
      <protection/>
    </xf>
    <xf numFmtId="0" fontId="5" fillId="0" borderId="10" xfId="58" applyFont="1" applyFill="1" applyBorder="1" applyAlignment="1">
      <alignment horizontal="left" vertical="center" wrapText="1"/>
      <protection/>
    </xf>
    <xf numFmtId="0" fontId="25" fillId="0" borderId="10" xfId="65" applyFont="1" applyFill="1" applyBorder="1" applyAlignment="1">
      <alignment horizontal="left" vertical="top" wrapText="1"/>
      <protection/>
    </xf>
    <xf numFmtId="0" fontId="25" fillId="0" borderId="10" xfId="57" applyFont="1" applyFill="1" applyBorder="1" applyAlignment="1">
      <alignment vertical="top" wrapText="1"/>
      <protection/>
    </xf>
    <xf numFmtId="0" fontId="10" fillId="0" borderId="11" xfId="60" applyFont="1" applyFill="1" applyBorder="1" applyAlignment="1">
      <alignment horizontal="center" vertical="center" wrapText="1"/>
      <protection/>
    </xf>
    <xf numFmtId="0" fontId="5" fillId="24" borderId="10" xfId="59" applyFont="1" applyFill="1" applyBorder="1" applyAlignment="1">
      <alignment vertical="top" wrapText="1"/>
      <protection/>
    </xf>
    <xf numFmtId="0" fontId="4" fillId="25" borderId="10" xfId="65" applyFont="1" applyFill="1" applyBorder="1" applyAlignment="1">
      <alignment horizontal="left" vertical="top" wrapText="1"/>
      <protection/>
    </xf>
    <xf numFmtId="0" fontId="30" fillId="0" borderId="14" xfId="60" applyFont="1" applyFill="1" applyBorder="1" applyAlignment="1">
      <alignment vertical="center" wrapText="1"/>
      <protection/>
    </xf>
    <xf numFmtId="0" fontId="30" fillId="0" borderId="12" xfId="60" applyFont="1" applyFill="1" applyBorder="1" applyAlignment="1">
      <alignment vertical="center" wrapText="1"/>
      <protection/>
    </xf>
    <xf numFmtId="0" fontId="24" fillId="0" borderId="12" xfId="59" applyFont="1" applyFill="1" applyBorder="1" applyAlignment="1">
      <alignment horizontal="center" vertical="center" wrapText="1"/>
      <protection/>
    </xf>
    <xf numFmtId="0" fontId="4" fillId="25" borderId="10" xfId="0" applyFont="1" applyFill="1" applyBorder="1" applyAlignment="1">
      <alignment horizontal="left" wrapText="1"/>
    </xf>
    <xf numFmtId="0" fontId="5" fillId="0" borderId="10" xfId="56" applyFont="1" applyFill="1" applyBorder="1" applyAlignment="1">
      <alignment horizontal="left" vertical="top" wrapText="1" indent="2"/>
      <protection/>
    </xf>
    <xf numFmtId="4" fontId="4" fillId="4" borderId="10" xfId="59" applyNumberFormat="1" applyFont="1" applyFill="1" applyBorder="1" applyAlignment="1">
      <alignment horizontal="center" vertical="center"/>
      <protection/>
    </xf>
    <xf numFmtId="49" fontId="24" fillId="0" borderId="13" xfId="59" applyNumberFormat="1"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24" fillId="0" borderId="11" xfId="59" applyFont="1" applyFill="1" applyBorder="1" applyAlignment="1">
      <alignment horizontal="left" vertical="top" wrapText="1"/>
      <protection/>
    </xf>
    <xf numFmtId="0" fontId="24" fillId="0" borderId="20"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0" fontId="4" fillId="0" borderId="12" xfId="0" applyFont="1" applyBorder="1" applyAlignment="1">
      <alignment horizontal="center" vertical="top" wrapText="1"/>
    </xf>
    <xf numFmtId="0" fontId="4" fillId="0" borderId="10" xfId="59" applyFont="1" applyFill="1" applyBorder="1" applyAlignment="1">
      <alignment horizontal="center" vertical="top"/>
      <protection/>
    </xf>
    <xf numFmtId="0" fontId="4" fillId="0" borderId="21" xfId="59" applyFont="1" applyFill="1" applyBorder="1" applyAlignment="1">
      <alignment horizontal="center" vertical="top" wrapText="1"/>
      <protection/>
    </xf>
    <xf numFmtId="0" fontId="0" fillId="0" borderId="12" xfId="0" applyBorder="1" applyAlignment="1">
      <alignment horizontal="center" vertical="top" wrapText="1"/>
    </xf>
    <xf numFmtId="0" fontId="0" fillId="0" borderId="14" xfId="0" applyBorder="1" applyAlignment="1">
      <alignment horizontal="center" vertical="top" wrapText="1"/>
    </xf>
    <xf numFmtId="0" fontId="0" fillId="0" borderId="12" xfId="0" applyFill="1" applyBorder="1" applyAlignment="1">
      <alignment horizontal="center" vertical="top" wrapText="1"/>
    </xf>
    <xf numFmtId="0" fontId="5" fillId="0" borderId="13" xfId="59" applyFont="1" applyFill="1" applyBorder="1" applyAlignment="1">
      <alignment horizontal="center" vertical="top" wrapText="1"/>
      <protection/>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5" fillId="0" borderId="12" xfId="59" applyFont="1" applyFill="1" applyBorder="1" applyAlignment="1">
      <alignment horizontal="center" vertical="top"/>
      <protection/>
    </xf>
    <xf numFmtId="0" fontId="0" fillId="0" borderId="12" xfId="0" applyBorder="1" applyAlignment="1">
      <alignment horizontal="center" vertical="top"/>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4" fillId="20" borderId="10" xfId="59" applyFont="1" applyFill="1" applyBorder="1" applyAlignment="1">
      <alignment horizontal="center" vertical="top"/>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49" fontId="4" fillId="0" borderId="12" xfId="59" applyNumberFormat="1"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4"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0"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2" xfId="0" applyFont="1" applyBorder="1" applyAlignment="1">
      <alignment horizontal="center" vertical="center" wrapText="1"/>
    </xf>
    <xf numFmtId="0" fontId="0" fillId="0" borderId="23" xfId="0" applyBorder="1" applyAlignment="1">
      <alignment horizontal="center" vertical="center" wrapText="1"/>
    </xf>
    <xf numFmtId="0" fontId="4" fillId="0" borderId="13" xfId="59" applyFont="1" applyFill="1" applyBorder="1" applyAlignment="1">
      <alignment horizontal="center" vertical="top"/>
      <protection/>
    </xf>
    <xf numFmtId="0" fontId="4" fillId="0" borderId="12" xfId="59" applyFont="1" applyFill="1" applyBorder="1" applyAlignment="1">
      <alignment horizontal="center" vertical="top"/>
      <protection/>
    </xf>
    <xf numFmtId="0" fontId="4" fillId="0" borderId="13" xfId="59"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4" fillId="0" borderId="14" xfId="59" applyFont="1" applyFill="1" applyBorder="1" applyAlignment="1">
      <alignment horizontal="center" vertical="top" wrapText="1"/>
      <protection/>
    </xf>
    <xf numFmtId="0" fontId="4" fillId="0" borderId="14" xfId="59" applyFont="1" applyFill="1" applyBorder="1" applyAlignment="1">
      <alignment horizontal="center" vertical="top"/>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0" fontId="0" fillId="0" borderId="14" xfId="0" applyBorder="1" applyAlignment="1">
      <alignment horizontal="center" vertical="top"/>
    </xf>
    <xf numFmtId="49" fontId="24" fillId="0" borderId="12" xfId="59" applyNumberFormat="1" applyFont="1" applyFill="1" applyBorder="1" applyAlignment="1">
      <alignment horizontal="center" vertical="center" wrapText="1"/>
      <protection/>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2" fontId="23" fillId="0" borderId="13" xfId="59" applyNumberFormat="1" applyFont="1" applyFill="1" applyBorder="1" applyAlignment="1">
      <alignment horizontal="center" vertical="center" wrapText="1"/>
      <protection/>
    </xf>
    <xf numFmtId="2" fontId="23" fillId="0" borderId="14"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0" fontId="4" fillId="0" borderId="13" xfId="0" applyFont="1" applyFill="1" applyBorder="1" applyAlignment="1">
      <alignment horizontal="center" vertical="top" wrapText="1"/>
    </xf>
    <xf numFmtId="0" fontId="0" fillId="0" borderId="14" xfId="0" applyBorder="1" applyAlignment="1">
      <alignment/>
    </xf>
    <xf numFmtId="0" fontId="0" fillId="0" borderId="12" xfId="0" applyBorder="1" applyAlignment="1">
      <alignment/>
    </xf>
    <xf numFmtId="0" fontId="4" fillId="20" borderId="10" xfId="59" applyFont="1" applyFill="1" applyBorder="1" applyAlignment="1">
      <alignment horizontal="left" vertical="top" wrapText="1"/>
      <protection/>
    </xf>
    <xf numFmtId="0" fontId="4" fillId="0" borderId="14" xfId="0" applyFont="1" applyFill="1" applyBorder="1" applyAlignment="1">
      <alignment horizontal="center" vertical="top" wrapText="1"/>
    </xf>
    <xf numFmtId="0" fontId="4" fillId="0" borderId="12" xfId="0"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4" fillId="20" borderId="11" xfId="0" applyFont="1" applyFill="1" applyBorder="1" applyAlignment="1">
      <alignment horizontal="left" vertical="top" wrapText="1"/>
    </xf>
    <xf numFmtId="0" fontId="4" fillId="20" borderId="20" xfId="0" applyFont="1" applyFill="1" applyBorder="1" applyAlignment="1">
      <alignment horizontal="left" vertical="top" wrapText="1"/>
    </xf>
    <xf numFmtId="0" fontId="4" fillId="20" borderId="15" xfId="0" applyFont="1" applyFill="1" applyBorder="1" applyAlignment="1">
      <alignment horizontal="left" vertical="top" wrapText="1"/>
    </xf>
    <xf numFmtId="0" fontId="5" fillId="0" borderId="0" xfId="59" applyFont="1" applyAlignment="1">
      <alignment horizontal="left" wrapText="1"/>
      <protection/>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10" fillId="0" borderId="13" xfId="60" applyFont="1" applyFill="1" applyBorder="1" applyAlignment="1">
      <alignment horizontal="center" vertical="center" wrapText="1"/>
      <protection/>
    </xf>
    <xf numFmtId="0" fontId="10" fillId="0" borderId="14" xfId="60" applyFont="1" applyFill="1" applyBorder="1" applyAlignment="1">
      <alignment horizontal="center" vertical="center" wrapText="1"/>
      <protection/>
    </xf>
    <xf numFmtId="0" fontId="10" fillId="0" borderId="12" xfId="60" applyFont="1" applyFill="1" applyBorder="1" applyAlignment="1">
      <alignment horizontal="center" vertical="center" wrapText="1"/>
      <protection/>
    </xf>
    <xf numFmtId="0" fontId="5" fillId="0" borderId="14" xfId="0" applyFont="1" applyBorder="1" applyAlignment="1">
      <alignment horizontal="center" vertical="top" wrapText="1"/>
    </xf>
    <xf numFmtId="0" fontId="5" fillId="0" borderId="12" xfId="0" applyFont="1" applyBorder="1" applyAlignment="1">
      <alignment horizontal="center" vertical="top" wrapText="1"/>
    </xf>
    <xf numFmtId="0" fontId="10" fillId="0" borderId="11" xfId="60" applyFont="1" applyFill="1" applyBorder="1" applyAlignment="1">
      <alignment horizontal="center" vertical="center" wrapText="1"/>
      <protection/>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0" fontId="9" fillId="0" borderId="10" xfId="59" applyFont="1" applyBorder="1" applyAlignment="1">
      <alignment horizontal="left" vertical="center" wrapText="1"/>
      <protection/>
    </xf>
    <xf numFmtId="0" fontId="4" fillId="0" borderId="10" xfId="60" applyFont="1" applyFill="1" applyBorder="1" applyAlignment="1">
      <alignment horizontal="center" vertical="center" wrapText="1"/>
      <protection/>
    </xf>
    <xf numFmtId="0" fontId="9" fillId="0" borderId="11" xfId="60" applyFont="1" applyFill="1" applyBorder="1" applyAlignment="1">
      <alignment horizontal="center" vertical="center"/>
      <protection/>
    </xf>
    <xf numFmtId="0" fontId="9" fillId="0" borderId="20"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0" fontId="9" fillId="0" borderId="0" xfId="59" applyFont="1" applyAlignment="1">
      <alignment horizontal="center" wrapText="1"/>
      <protection/>
    </xf>
    <xf numFmtId="0" fontId="9" fillId="0" borderId="10" xfId="59" applyFont="1" applyBorder="1" applyAlignment="1">
      <alignment horizontal="center" vertic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1" fontId="9" fillId="0" borderId="12" xfId="0" applyNumberFormat="1" applyFont="1" applyBorder="1" applyAlignment="1">
      <alignment horizontal="left" vertical="center"/>
    </xf>
    <xf numFmtId="0" fontId="5" fillId="0" borderId="13" xfId="54" applyFont="1" applyFill="1" applyBorder="1" applyAlignment="1">
      <alignment horizontal="left" vertical="center" wrapText="1"/>
      <protection/>
    </xf>
    <xf numFmtId="0" fontId="5" fillId="0" borderId="12" xfId="54" applyFont="1" applyFill="1" applyBorder="1" applyAlignment="1">
      <alignment horizontal="left" vertical="center" wrapText="1"/>
      <protection/>
    </xf>
    <xf numFmtId="0" fontId="5" fillId="0" borderId="12" xfId="0" applyFont="1" applyBorder="1" applyAlignment="1">
      <alignment horizontal="center" vertical="top"/>
    </xf>
    <xf numFmtId="0" fontId="5" fillId="0" borderId="14" xfId="0" applyFont="1" applyBorder="1" applyAlignment="1">
      <alignment horizontal="center" vertical="top"/>
    </xf>
    <xf numFmtId="0" fontId="9" fillId="0" borderId="10" xfId="59" applyNumberFormat="1" applyFont="1" applyBorder="1" applyAlignment="1">
      <alignment horizontal="center" vertical="center" wrapText="1"/>
      <protection/>
    </xf>
    <xf numFmtId="0" fontId="5" fillId="0" borderId="14" xfId="0" applyFont="1" applyFill="1" applyBorder="1" applyAlignment="1">
      <alignment/>
    </xf>
    <xf numFmtId="0" fontId="5" fillId="0" borderId="12" xfId="0" applyFont="1" applyFill="1" applyBorder="1" applyAlignment="1">
      <alignment/>
    </xf>
    <xf numFmtId="0" fontId="5" fillId="0" borderId="14" xfId="0" applyFont="1" applyBorder="1" applyAlignment="1">
      <alignment/>
    </xf>
    <xf numFmtId="0" fontId="5" fillId="0" borderId="12" xfId="0" applyFont="1" applyBorder="1" applyAlignment="1">
      <alignment/>
    </xf>
    <xf numFmtId="0" fontId="5" fillId="0" borderId="10" xfId="0" applyFont="1" applyBorder="1" applyAlignment="1">
      <alignment horizontal="center" vertical="top" wrapText="1"/>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4" fontId="9" fillId="0" borderId="10" xfId="59" applyNumberFormat="1" applyFont="1" applyBorder="1" applyAlignment="1">
      <alignment horizontal="center" vertical="center" wrapText="1"/>
      <protection/>
    </xf>
    <xf numFmtId="49" fontId="4" fillId="0" borderId="10" xfId="0" applyNumberFormat="1" applyFont="1" applyFill="1" applyBorder="1" applyAlignment="1">
      <alignment horizontal="center" vertical="top" wrapText="1"/>
    </xf>
    <xf numFmtId="0" fontId="4" fillId="20" borderId="10" xfId="60" applyFont="1" applyFill="1" applyBorder="1" applyAlignment="1">
      <alignment horizontal="center" vertical="center" wrapText="1"/>
      <protection/>
    </xf>
    <xf numFmtId="0" fontId="5" fillId="0" borderId="13" xfId="59" applyNumberFormat="1" applyFont="1" applyFill="1" applyBorder="1" applyAlignment="1">
      <alignment horizontal="center" vertical="center"/>
      <protection/>
    </xf>
    <xf numFmtId="0" fontId="5" fillId="0" borderId="12" xfId="59" applyNumberFormat="1" applyFont="1" applyFill="1" applyBorder="1" applyAlignment="1">
      <alignment horizontal="center" vertical="center"/>
      <protection/>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10" fillId="0" borderId="13" xfId="60" applyFont="1" applyFill="1" applyBorder="1" applyAlignment="1">
      <alignment horizontal="center"/>
      <protection/>
    </xf>
    <xf numFmtId="0" fontId="10" fillId="0" borderId="12" xfId="60" applyFont="1" applyFill="1" applyBorder="1" applyAlignment="1">
      <alignment horizontal="center"/>
      <protection/>
    </xf>
    <xf numFmtId="0" fontId="22" fillId="0" borderId="13" xfId="60" applyFont="1" applyFill="1" applyBorder="1" applyAlignment="1">
      <alignment horizontal="center" vertical="center" wrapText="1"/>
      <protection/>
    </xf>
    <xf numFmtId="0" fontId="22" fillId="0" borderId="12" xfId="60" applyFont="1" applyFill="1" applyBorder="1" applyAlignment="1">
      <alignment horizontal="center" vertical="center" wrapText="1"/>
      <protection/>
    </xf>
    <xf numFmtId="0" fontId="10" fillId="0" borderId="14" xfId="60" applyFill="1" applyBorder="1" applyAlignment="1">
      <alignment horizontal="center" vertical="center" wrapText="1"/>
      <protection/>
    </xf>
    <xf numFmtId="0" fontId="10" fillId="0" borderId="12" xfId="60" applyFill="1" applyBorder="1" applyAlignment="1">
      <alignment horizontal="center" vertical="center" wrapText="1"/>
      <protection/>
    </xf>
    <xf numFmtId="0" fontId="30" fillId="0" borderId="13" xfId="60" applyFont="1" applyFill="1" applyBorder="1" applyAlignment="1">
      <alignment horizontal="center" vertical="center" wrapText="1"/>
      <protection/>
    </xf>
    <xf numFmtId="0" fontId="30" fillId="0" borderId="14" xfId="60" applyFont="1" applyFill="1" applyBorder="1" applyAlignment="1">
      <alignment horizontal="center" vertical="center" wrapText="1"/>
      <protection/>
    </xf>
    <xf numFmtId="0" fontId="30" fillId="0" borderId="12" xfId="60" applyFont="1" applyFill="1" applyBorder="1" applyAlignment="1">
      <alignment horizontal="center" vertical="center" wrapText="1"/>
      <protection/>
    </xf>
    <xf numFmtId="4" fontId="10" fillId="0" borderId="11" xfId="60" applyNumberFormat="1" applyFont="1" applyFill="1" applyBorder="1" applyAlignment="1">
      <alignment horizontal="center" vertical="center" wrapText="1"/>
      <protection/>
    </xf>
    <xf numFmtId="4" fontId="10" fillId="0" borderId="20" xfId="60" applyNumberFormat="1" applyFont="1" applyFill="1" applyBorder="1" applyAlignment="1">
      <alignment horizontal="center" vertical="center" wrapText="1"/>
      <protection/>
    </xf>
    <xf numFmtId="4" fontId="10" fillId="0" borderId="15" xfId="60" applyNumberFormat="1" applyFont="1" applyFill="1" applyBorder="1" applyAlignment="1">
      <alignment horizontal="center" vertical="center" wrapText="1"/>
      <protection/>
    </xf>
    <xf numFmtId="0" fontId="10" fillId="0" borderId="13" xfId="60" applyFont="1" applyFill="1" applyBorder="1" applyAlignment="1">
      <alignment vertical="center" wrapText="1"/>
      <protection/>
    </xf>
    <xf numFmtId="0" fontId="10" fillId="0" borderId="12" xfId="60" applyFont="1" applyFill="1" applyBorder="1" applyAlignment="1">
      <alignment vertical="center" wrapText="1"/>
      <protection/>
    </xf>
    <xf numFmtId="4" fontId="22" fillId="0" borderId="11" xfId="60" applyNumberFormat="1" applyFont="1" applyFill="1" applyBorder="1" applyAlignment="1">
      <alignment horizontal="center" vertical="center" wrapText="1"/>
      <protection/>
    </xf>
    <xf numFmtId="4" fontId="22" fillId="0" borderId="20" xfId="60" applyNumberFormat="1" applyFont="1" applyFill="1" applyBorder="1" applyAlignment="1">
      <alignment horizontal="center" vertical="center" wrapText="1"/>
      <protection/>
    </xf>
    <xf numFmtId="4" fontId="22" fillId="0" borderId="15" xfId="60" applyNumberFormat="1" applyFont="1" applyFill="1" applyBorder="1" applyAlignment="1">
      <alignment horizontal="center" vertical="center" wrapText="1"/>
      <protection/>
    </xf>
    <xf numFmtId="4" fontId="10" fillId="0" borderId="13" xfId="60" applyNumberFormat="1" applyFont="1" applyFill="1" applyBorder="1" applyAlignment="1">
      <alignment horizontal="center" vertical="center" wrapText="1"/>
      <protection/>
    </xf>
    <xf numFmtId="4" fontId="10" fillId="0" borderId="12" xfId="60" applyNumberFormat="1" applyFont="1" applyFill="1" applyBorder="1" applyAlignment="1">
      <alignment horizontal="center" vertical="center" wrapText="1"/>
      <protection/>
    </xf>
    <xf numFmtId="49" fontId="4" fillId="0" borderId="12" xfId="0" applyNumberFormat="1" applyFont="1" applyFill="1" applyBorder="1" applyAlignment="1">
      <alignment horizontal="center" vertical="top" wrapText="1"/>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3">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39</v>
      </c>
      <c r="F1" s="20"/>
      <c r="G1" s="21"/>
      <c r="H1" s="21"/>
    </row>
    <row r="2" spans="5:8" ht="44.25" customHeight="1">
      <c r="E2" s="589" t="s">
        <v>1105</v>
      </c>
      <c r="F2" s="589"/>
      <c r="G2" s="589"/>
      <c r="H2" s="589"/>
    </row>
    <row r="8" spans="1:7" ht="57" customHeight="1">
      <c r="A8" s="590" t="s">
        <v>1963</v>
      </c>
      <c r="B8" s="591"/>
      <c r="C8" s="591"/>
      <c r="D8" s="591"/>
      <c r="E8" s="591"/>
      <c r="F8" s="591"/>
      <c r="G8" s="591"/>
    </row>
    <row r="9" ht="40.5" customHeight="1">
      <c r="G9" s="2" t="s">
        <v>2047</v>
      </c>
    </row>
    <row r="10" spans="1:7" ht="20.25">
      <c r="A10" s="592" t="s">
        <v>1442</v>
      </c>
      <c r="B10" s="592" t="s">
        <v>1443</v>
      </c>
      <c r="C10" s="593" t="s">
        <v>1947</v>
      </c>
      <c r="D10" s="594"/>
      <c r="E10" s="594"/>
      <c r="F10" s="594"/>
      <c r="G10" s="595"/>
    </row>
    <row r="11" spans="1:7" ht="46.5" customHeight="1">
      <c r="A11" s="592"/>
      <c r="B11" s="592"/>
      <c r="C11" s="596" t="s">
        <v>606</v>
      </c>
      <c r="D11" s="597"/>
      <c r="E11" s="601" t="s">
        <v>607</v>
      </c>
      <c r="F11" s="602"/>
      <c r="G11" s="598" t="s">
        <v>636</v>
      </c>
    </row>
    <row r="12" spans="1:7" ht="20.25">
      <c r="A12" s="592"/>
      <c r="B12" s="592"/>
      <c r="C12" s="3">
        <v>250344</v>
      </c>
      <c r="D12" s="3">
        <v>250380</v>
      </c>
      <c r="E12" s="3">
        <v>250344</v>
      </c>
      <c r="F12" s="3">
        <v>250324</v>
      </c>
      <c r="G12" s="599"/>
    </row>
    <row r="13" spans="1:7" ht="158.25" customHeight="1">
      <c r="A13" s="592"/>
      <c r="B13" s="592"/>
      <c r="C13" s="4" t="s">
        <v>37</v>
      </c>
      <c r="D13" s="4" t="s">
        <v>864</v>
      </c>
      <c r="E13" s="4" t="s">
        <v>37</v>
      </c>
      <c r="F13" s="4" t="s">
        <v>2016</v>
      </c>
      <c r="G13" s="600"/>
    </row>
    <row r="14" spans="1:7" ht="20.25">
      <c r="A14" s="4"/>
      <c r="B14" s="17" t="s">
        <v>1444</v>
      </c>
      <c r="C14" s="18" t="e">
        <f>#REF!+C15</f>
        <v>#REF!</v>
      </c>
      <c r="D14" s="18"/>
      <c r="E14" s="18">
        <f>E15</f>
        <v>400</v>
      </c>
      <c r="F14" s="18"/>
      <c r="G14" s="18">
        <f>G15</f>
        <v>400</v>
      </c>
    </row>
    <row r="15" spans="1:7" ht="60.75">
      <c r="A15" s="4"/>
      <c r="B15" s="6" t="s">
        <v>1206</v>
      </c>
      <c r="C15" s="8"/>
      <c r="D15" s="15"/>
      <c r="E15" s="16">
        <f>200+200</f>
        <v>400</v>
      </c>
      <c r="F15" s="16"/>
      <c r="G15" s="16">
        <f>C15+D15+E15</f>
        <v>400</v>
      </c>
    </row>
    <row r="16" spans="1:7" ht="20.25">
      <c r="A16" s="9">
        <v>23100000000</v>
      </c>
      <c r="B16" s="17" t="s">
        <v>1964</v>
      </c>
      <c r="C16" s="17"/>
      <c r="D16" s="18">
        <f>D17</f>
        <v>1191.269</v>
      </c>
      <c r="E16" s="18"/>
      <c r="F16" s="18">
        <f>F17+F18</f>
        <v>3344.5</v>
      </c>
      <c r="G16" s="18">
        <f>SUM(C16:F16)</f>
        <v>4535.769</v>
      </c>
    </row>
    <row r="17" spans="1:7" ht="71.25" customHeight="1">
      <c r="A17" s="4"/>
      <c r="B17" s="6" t="s">
        <v>605</v>
      </c>
      <c r="C17" s="6"/>
      <c r="D17" s="7">
        <v>1191.269</v>
      </c>
      <c r="E17" s="7"/>
      <c r="F17" s="7"/>
      <c r="G17" s="7">
        <f>D17</f>
        <v>1191.269</v>
      </c>
    </row>
    <row r="18" spans="1:7" ht="40.5">
      <c r="A18" s="4"/>
      <c r="B18" s="19" t="s">
        <v>775</v>
      </c>
      <c r="C18" s="6"/>
      <c r="D18" s="7"/>
      <c r="E18" s="7"/>
      <c r="F18" s="7">
        <v>3344.5</v>
      </c>
      <c r="G18" s="7">
        <f>F18</f>
        <v>3344.5</v>
      </c>
    </row>
    <row r="19" spans="1:7" ht="20.25">
      <c r="A19" s="6"/>
      <c r="B19" s="10" t="s">
        <v>1452</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638" t="s">
        <v>139</v>
      </c>
      <c r="G1" s="638"/>
      <c r="H1" s="638"/>
      <c r="I1" s="110"/>
      <c r="J1" s="110"/>
      <c r="K1" s="631"/>
      <c r="L1" s="632"/>
      <c r="M1" s="632"/>
      <c r="N1" s="632"/>
      <c r="O1" s="632"/>
    </row>
    <row r="2" spans="1:15" ht="82.5" customHeight="1">
      <c r="A2" s="633" t="s">
        <v>21</v>
      </c>
      <c r="B2" s="633"/>
      <c r="C2" s="633"/>
      <c r="D2" s="633"/>
      <c r="E2" s="633"/>
      <c r="F2" s="633"/>
      <c r="G2" s="633"/>
      <c r="H2" s="633"/>
      <c r="I2" s="633"/>
      <c r="J2" s="633"/>
      <c r="K2" s="633"/>
      <c r="L2" s="633"/>
      <c r="M2" s="633"/>
      <c r="N2" s="633"/>
      <c r="O2" s="633"/>
    </row>
    <row r="3" spans="1:15" ht="18.75">
      <c r="A3" s="111"/>
      <c r="B3" s="111"/>
      <c r="C3" s="112"/>
      <c r="D3" s="113"/>
      <c r="E3" s="111"/>
      <c r="F3" s="111"/>
      <c r="G3" s="111"/>
      <c r="H3" s="114" t="s">
        <v>110</v>
      </c>
      <c r="I3" s="115"/>
      <c r="J3" s="115"/>
      <c r="K3" s="116"/>
      <c r="L3" s="115"/>
      <c r="M3" s="117"/>
      <c r="N3" s="117"/>
      <c r="O3" s="107"/>
    </row>
    <row r="4" spans="1:63" s="24" customFormat="1" ht="64.5" customHeight="1">
      <c r="A4" s="118" t="s">
        <v>1965</v>
      </c>
      <c r="B4" s="118" t="s">
        <v>1966</v>
      </c>
      <c r="C4" s="634" t="s">
        <v>515</v>
      </c>
      <c r="D4" s="635" t="s">
        <v>1967</v>
      </c>
      <c r="E4" s="635" t="s">
        <v>934</v>
      </c>
      <c r="F4" s="635" t="s">
        <v>1227</v>
      </c>
      <c r="G4" s="635" t="s">
        <v>954</v>
      </c>
      <c r="H4" s="636" t="s">
        <v>955</v>
      </c>
      <c r="I4" s="637" t="s">
        <v>956</v>
      </c>
      <c r="J4" s="637"/>
      <c r="K4" s="637"/>
      <c r="L4" s="637"/>
      <c r="M4" s="637"/>
      <c r="N4" s="637"/>
      <c r="O4" s="637"/>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957</v>
      </c>
      <c r="B5" s="118" t="s">
        <v>1440</v>
      </c>
      <c r="C5" s="634"/>
      <c r="D5" s="635"/>
      <c r="E5" s="635"/>
      <c r="F5" s="635"/>
      <c r="G5" s="635"/>
      <c r="H5" s="636"/>
      <c r="I5" s="121" t="s">
        <v>958</v>
      </c>
      <c r="J5" s="121" t="s">
        <v>959</v>
      </c>
      <c r="K5" s="122" t="s">
        <v>960</v>
      </c>
      <c r="L5" s="123" t="s">
        <v>961</v>
      </c>
      <c r="M5" s="124" t="s">
        <v>962</v>
      </c>
      <c r="N5" s="124" t="s">
        <v>963</v>
      </c>
      <c r="O5" s="124" t="s">
        <v>964</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1441</v>
      </c>
      <c r="B7" s="623" t="s">
        <v>965</v>
      </c>
      <c r="C7" s="623"/>
      <c r="D7" s="623"/>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81" t="s">
        <v>1756</v>
      </c>
      <c r="B8" s="605" t="s">
        <v>966</v>
      </c>
      <c r="C8" s="135"/>
      <c r="D8" s="136" t="s">
        <v>1456</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82"/>
      <c r="B9" s="607"/>
      <c r="C9" s="135" t="s">
        <v>1457</v>
      </c>
      <c r="D9" s="141" t="s">
        <v>1812</v>
      </c>
      <c r="E9" s="142"/>
      <c r="F9" s="143"/>
      <c r="G9" s="142"/>
      <c r="H9" s="144">
        <f t="shared" si="0"/>
        <v>0</v>
      </c>
      <c r="I9" s="145"/>
      <c r="J9" s="145"/>
      <c r="K9" s="145"/>
      <c r="L9" s="145"/>
      <c r="M9" s="146"/>
      <c r="N9" s="146"/>
      <c r="O9" s="147"/>
      <c r="P9" s="25"/>
      <c r="Q9" s="29"/>
    </row>
    <row r="10" spans="1:17" s="30" customFormat="1" ht="31.5">
      <c r="A10" s="582"/>
      <c r="B10" s="607"/>
      <c r="C10" s="135" t="s">
        <v>1813</v>
      </c>
      <c r="D10" s="141" t="s">
        <v>1814</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82"/>
      <c r="B11" s="607"/>
      <c r="C11" s="135" t="s">
        <v>1815</v>
      </c>
      <c r="D11" s="141" t="s">
        <v>1816</v>
      </c>
      <c r="E11" s="142"/>
      <c r="F11" s="143"/>
      <c r="G11" s="142"/>
      <c r="H11" s="144">
        <f t="shared" si="0"/>
        <v>0</v>
      </c>
      <c r="I11" s="145"/>
      <c r="J11" s="145"/>
      <c r="K11" s="145"/>
      <c r="L11" s="145"/>
      <c r="M11" s="146"/>
      <c r="N11" s="146"/>
      <c r="O11" s="147"/>
      <c r="P11" s="25"/>
      <c r="Q11" s="29"/>
    </row>
    <row r="12" spans="1:17" s="30" customFormat="1" ht="31.5" hidden="1">
      <c r="A12" s="582"/>
      <c r="B12" s="607"/>
      <c r="C12" s="135" t="s">
        <v>1817</v>
      </c>
      <c r="D12" s="141" t="s">
        <v>1610</v>
      </c>
      <c r="E12" s="142"/>
      <c r="F12" s="143"/>
      <c r="G12" s="142"/>
      <c r="H12" s="144">
        <f t="shared" si="0"/>
        <v>0</v>
      </c>
      <c r="I12" s="145"/>
      <c r="J12" s="145"/>
      <c r="K12" s="145"/>
      <c r="L12" s="145"/>
      <c r="M12" s="146"/>
      <c r="N12" s="146"/>
      <c r="O12" s="147"/>
      <c r="P12" s="25"/>
      <c r="Q12" s="29"/>
    </row>
    <row r="13" spans="1:17" s="30" customFormat="1" ht="47.25" hidden="1">
      <c r="A13" s="582"/>
      <c r="B13" s="607"/>
      <c r="C13" s="135" t="s">
        <v>1611</v>
      </c>
      <c r="D13" s="141" t="s">
        <v>2017</v>
      </c>
      <c r="E13" s="142"/>
      <c r="F13" s="143"/>
      <c r="G13" s="142"/>
      <c r="H13" s="144">
        <f t="shared" si="0"/>
        <v>0</v>
      </c>
      <c r="I13" s="145"/>
      <c r="J13" s="145"/>
      <c r="K13" s="145"/>
      <c r="L13" s="145"/>
      <c r="M13" s="146"/>
      <c r="N13" s="146"/>
      <c r="O13" s="147"/>
      <c r="P13" s="25"/>
      <c r="Q13" s="29"/>
    </row>
    <row r="14" spans="1:17" s="30" customFormat="1" ht="15.75" hidden="1">
      <c r="A14" s="582"/>
      <c r="B14" s="607"/>
      <c r="C14" s="135" t="s">
        <v>2018</v>
      </c>
      <c r="D14" s="141" t="s">
        <v>2019</v>
      </c>
      <c r="E14" s="142"/>
      <c r="F14" s="143"/>
      <c r="G14" s="142"/>
      <c r="H14" s="144">
        <f t="shared" si="0"/>
        <v>0</v>
      </c>
      <c r="I14" s="145"/>
      <c r="J14" s="145"/>
      <c r="K14" s="145"/>
      <c r="L14" s="145"/>
      <c r="M14" s="146"/>
      <c r="N14" s="146"/>
      <c r="O14" s="147"/>
      <c r="P14" s="25"/>
      <c r="Q14" s="29"/>
    </row>
    <row r="15" spans="1:17" s="30" customFormat="1" ht="31.5" hidden="1">
      <c r="A15" s="582"/>
      <c r="B15" s="607"/>
      <c r="C15" s="135" t="s">
        <v>2020</v>
      </c>
      <c r="D15" s="141" t="s">
        <v>131</v>
      </c>
      <c r="E15" s="142"/>
      <c r="F15" s="143"/>
      <c r="G15" s="142"/>
      <c r="H15" s="144">
        <f t="shared" si="0"/>
        <v>0</v>
      </c>
      <c r="I15" s="145"/>
      <c r="J15" s="145"/>
      <c r="K15" s="145"/>
      <c r="L15" s="145"/>
      <c r="M15" s="146"/>
      <c r="N15" s="146"/>
      <c r="O15" s="147"/>
      <c r="P15" s="25"/>
      <c r="Q15" s="29"/>
    </row>
    <row r="16" spans="1:17" s="30" customFormat="1" ht="47.25">
      <c r="A16" s="582"/>
      <c r="B16" s="607"/>
      <c r="C16" s="148" t="s">
        <v>330</v>
      </c>
      <c r="D16" s="141" t="s">
        <v>2075</v>
      </c>
      <c r="E16" s="142"/>
      <c r="F16" s="143"/>
      <c r="G16" s="142"/>
      <c r="H16" s="144">
        <f t="shared" si="0"/>
        <v>39994.08</v>
      </c>
      <c r="I16" s="145"/>
      <c r="J16" s="145"/>
      <c r="K16" s="145"/>
      <c r="L16" s="145">
        <v>39994.08</v>
      </c>
      <c r="M16" s="146"/>
      <c r="N16" s="146"/>
      <c r="O16" s="147"/>
      <c r="P16" s="25"/>
      <c r="Q16" s="29"/>
    </row>
    <row r="17" spans="1:17" s="30" customFormat="1" ht="15.75" hidden="1">
      <c r="A17" s="582"/>
      <c r="B17" s="607"/>
      <c r="C17" s="148" t="s">
        <v>2076</v>
      </c>
      <c r="D17" s="141" t="s">
        <v>1438</v>
      </c>
      <c r="E17" s="142"/>
      <c r="F17" s="143"/>
      <c r="G17" s="142"/>
      <c r="H17" s="144">
        <f t="shared" si="0"/>
        <v>0</v>
      </c>
      <c r="I17" s="145"/>
      <c r="J17" s="145"/>
      <c r="K17" s="145"/>
      <c r="L17" s="145"/>
      <c r="M17" s="146"/>
      <c r="N17" s="146"/>
      <c r="O17" s="147"/>
      <c r="P17" s="25"/>
      <c r="Q17" s="29"/>
    </row>
    <row r="18" spans="1:17" s="30" customFormat="1" ht="31.5" hidden="1">
      <c r="A18" s="582"/>
      <c r="B18" s="607"/>
      <c r="C18" s="148" t="s">
        <v>1439</v>
      </c>
      <c r="D18" s="141" t="s">
        <v>1334</v>
      </c>
      <c r="E18" s="142"/>
      <c r="F18" s="143"/>
      <c r="G18" s="142"/>
      <c r="H18" s="144">
        <f t="shared" si="0"/>
        <v>0</v>
      </c>
      <c r="I18" s="145"/>
      <c r="J18" s="145"/>
      <c r="K18" s="145"/>
      <c r="L18" s="145"/>
      <c r="M18" s="146"/>
      <c r="N18" s="146"/>
      <c r="O18" s="147"/>
      <c r="P18" s="25"/>
      <c r="Q18" s="29"/>
    </row>
    <row r="19" spans="1:17" s="30" customFormat="1" ht="31.5">
      <c r="A19" s="582"/>
      <c r="B19" s="607"/>
      <c r="C19" s="148" t="s">
        <v>1335</v>
      </c>
      <c r="D19" s="141" t="s">
        <v>620</v>
      </c>
      <c r="E19" s="142"/>
      <c r="F19" s="143"/>
      <c r="G19" s="142"/>
      <c r="H19" s="144">
        <f t="shared" si="0"/>
        <v>35400</v>
      </c>
      <c r="I19" s="145"/>
      <c r="J19" s="145"/>
      <c r="K19" s="145"/>
      <c r="L19" s="145">
        <v>35400</v>
      </c>
      <c r="M19" s="146"/>
      <c r="N19" s="146"/>
      <c r="O19" s="147"/>
      <c r="P19" s="25"/>
      <c r="Q19" s="29"/>
    </row>
    <row r="20" spans="1:17" s="30" customFormat="1" ht="47.25" hidden="1">
      <c r="A20" s="582"/>
      <c r="B20" s="607"/>
      <c r="C20" s="148" t="s">
        <v>621</v>
      </c>
      <c r="D20" s="141" t="s">
        <v>829</v>
      </c>
      <c r="E20" s="142"/>
      <c r="F20" s="143"/>
      <c r="G20" s="142"/>
      <c r="H20" s="144">
        <f t="shared" si="0"/>
        <v>0</v>
      </c>
      <c r="I20" s="145"/>
      <c r="J20" s="145"/>
      <c r="K20" s="145"/>
      <c r="L20" s="145"/>
      <c r="M20" s="146"/>
      <c r="N20" s="146"/>
      <c r="O20" s="147"/>
      <c r="P20" s="25"/>
      <c r="Q20" s="29"/>
    </row>
    <row r="21" spans="1:17" s="30" customFormat="1" ht="31.5" hidden="1">
      <c r="A21" s="582"/>
      <c r="B21" s="607"/>
      <c r="C21" s="148" t="s">
        <v>830</v>
      </c>
      <c r="D21" s="141" t="s">
        <v>831</v>
      </c>
      <c r="E21" s="142"/>
      <c r="F21" s="143"/>
      <c r="G21" s="142"/>
      <c r="H21" s="144">
        <f t="shared" si="0"/>
        <v>0</v>
      </c>
      <c r="I21" s="145"/>
      <c r="J21" s="145"/>
      <c r="K21" s="145"/>
      <c r="L21" s="145"/>
      <c r="M21" s="146"/>
      <c r="N21" s="146"/>
      <c r="O21" s="147"/>
      <c r="P21" s="25"/>
      <c r="Q21" s="29"/>
    </row>
    <row r="22" spans="1:17" s="30" customFormat="1" ht="31.5" hidden="1">
      <c r="A22" s="582"/>
      <c r="B22" s="607"/>
      <c r="C22" s="149" t="s">
        <v>1391</v>
      </c>
      <c r="D22" s="150" t="s">
        <v>1392</v>
      </c>
      <c r="E22" s="151"/>
      <c r="F22" s="152"/>
      <c r="G22" s="151"/>
      <c r="H22" s="153">
        <f t="shared" si="0"/>
        <v>0</v>
      </c>
      <c r="I22" s="154"/>
      <c r="J22" s="154"/>
      <c r="K22" s="154"/>
      <c r="L22" s="154"/>
      <c r="M22" s="155"/>
      <c r="N22" s="155"/>
      <c r="O22" s="156"/>
      <c r="P22" s="25"/>
      <c r="Q22" s="29"/>
    </row>
    <row r="23" spans="1:17" s="30" customFormat="1" ht="15.75" hidden="1">
      <c r="A23" s="582"/>
      <c r="B23" s="607"/>
      <c r="C23" s="149"/>
      <c r="D23" s="150" t="s">
        <v>1393</v>
      </c>
      <c r="E23" s="151"/>
      <c r="F23" s="152"/>
      <c r="G23" s="151"/>
      <c r="H23" s="153">
        <f t="shared" si="0"/>
        <v>0</v>
      </c>
      <c r="I23" s="154"/>
      <c r="J23" s="154"/>
      <c r="K23" s="154"/>
      <c r="L23" s="154"/>
      <c r="M23" s="155"/>
      <c r="N23" s="155"/>
      <c r="O23" s="156"/>
      <c r="P23" s="25"/>
      <c r="Q23" s="29"/>
    </row>
    <row r="24" spans="1:17" s="30" customFormat="1" ht="47.25">
      <c r="A24" s="582"/>
      <c r="B24" s="607"/>
      <c r="C24" s="149"/>
      <c r="D24" s="150" t="s">
        <v>290</v>
      </c>
      <c r="E24" s="151"/>
      <c r="F24" s="152"/>
      <c r="G24" s="151"/>
      <c r="H24" s="153">
        <f t="shared" si="0"/>
        <v>21240</v>
      </c>
      <c r="I24" s="154"/>
      <c r="J24" s="154"/>
      <c r="K24" s="154"/>
      <c r="L24" s="154">
        <v>21240</v>
      </c>
      <c r="M24" s="155"/>
      <c r="N24" s="155"/>
      <c r="O24" s="156"/>
      <c r="P24" s="25"/>
      <c r="Q24" s="29"/>
    </row>
    <row r="25" spans="1:17" s="30" customFormat="1" ht="31.5" hidden="1">
      <c r="A25" s="582"/>
      <c r="B25" s="607"/>
      <c r="C25" s="149"/>
      <c r="D25" s="150" t="s">
        <v>833</v>
      </c>
      <c r="E25" s="151"/>
      <c r="F25" s="152"/>
      <c r="G25" s="151"/>
      <c r="H25" s="153">
        <f t="shared" si="0"/>
        <v>0</v>
      </c>
      <c r="I25" s="154"/>
      <c r="J25" s="154"/>
      <c r="K25" s="154"/>
      <c r="L25" s="154"/>
      <c r="M25" s="155"/>
      <c r="N25" s="155"/>
      <c r="O25" s="156"/>
      <c r="P25" s="25"/>
      <c r="Q25" s="29"/>
    </row>
    <row r="26" spans="1:17" s="30" customFormat="1" ht="31.5">
      <c r="A26" s="582"/>
      <c r="B26" s="607"/>
      <c r="C26" s="149"/>
      <c r="D26" s="150" t="s">
        <v>1039</v>
      </c>
      <c r="E26" s="151"/>
      <c r="F26" s="152"/>
      <c r="G26" s="151"/>
      <c r="H26" s="153">
        <f t="shared" si="0"/>
        <v>52294.95</v>
      </c>
      <c r="I26" s="154"/>
      <c r="J26" s="154"/>
      <c r="K26" s="154"/>
      <c r="L26" s="154">
        <v>52294.95</v>
      </c>
      <c r="M26" s="155"/>
      <c r="N26" s="155"/>
      <c r="O26" s="156"/>
      <c r="P26" s="25"/>
      <c r="Q26" s="29"/>
    </row>
    <row r="27" spans="1:17" s="30" customFormat="1" ht="18" customHeight="1">
      <c r="A27" s="582"/>
      <c r="B27" s="607"/>
      <c r="C27" s="149"/>
      <c r="D27" s="150" t="s">
        <v>622</v>
      </c>
      <c r="E27" s="151"/>
      <c r="F27" s="152"/>
      <c r="G27" s="151"/>
      <c r="H27" s="153">
        <f t="shared" si="0"/>
        <v>8300</v>
      </c>
      <c r="I27" s="154"/>
      <c r="J27" s="154"/>
      <c r="K27" s="154"/>
      <c r="L27" s="154">
        <v>8300</v>
      </c>
      <c r="M27" s="155"/>
      <c r="N27" s="155"/>
      <c r="O27" s="156"/>
      <c r="P27" s="25"/>
      <c r="Q27" s="29"/>
    </row>
    <row r="28" spans="1:17" s="30" customFormat="1" ht="31.5" hidden="1">
      <c r="A28" s="582"/>
      <c r="B28" s="607"/>
      <c r="C28" s="149"/>
      <c r="D28" s="150" t="s">
        <v>971</v>
      </c>
      <c r="E28" s="151"/>
      <c r="F28" s="152"/>
      <c r="G28" s="151"/>
      <c r="H28" s="153">
        <f t="shared" si="0"/>
        <v>0</v>
      </c>
      <c r="I28" s="154"/>
      <c r="J28" s="154"/>
      <c r="K28" s="154"/>
      <c r="L28" s="154"/>
      <c r="M28" s="155"/>
      <c r="N28" s="155"/>
      <c r="O28" s="156"/>
      <c r="P28" s="25"/>
      <c r="Q28" s="29"/>
    </row>
    <row r="29" spans="1:17" s="30" customFormat="1" ht="15.75" hidden="1">
      <c r="A29" s="582"/>
      <c r="B29" s="607"/>
      <c r="C29" s="149"/>
      <c r="D29" s="150" t="s">
        <v>1754</v>
      </c>
      <c r="E29" s="151"/>
      <c r="F29" s="152"/>
      <c r="G29" s="151"/>
      <c r="H29" s="153">
        <f t="shared" si="0"/>
        <v>0</v>
      </c>
      <c r="I29" s="154"/>
      <c r="J29" s="154"/>
      <c r="K29" s="154"/>
      <c r="L29" s="154"/>
      <c r="M29" s="155"/>
      <c r="N29" s="155"/>
      <c r="O29" s="156"/>
      <c r="P29" s="25"/>
      <c r="Q29" s="29"/>
    </row>
    <row r="30" spans="1:17" s="30" customFormat="1" ht="47.25" hidden="1">
      <c r="A30" s="582"/>
      <c r="B30" s="607"/>
      <c r="C30" s="149"/>
      <c r="D30" s="150" t="s">
        <v>696</v>
      </c>
      <c r="E30" s="151"/>
      <c r="F30" s="152"/>
      <c r="G30" s="151"/>
      <c r="H30" s="153">
        <f t="shared" si="0"/>
        <v>0</v>
      </c>
      <c r="I30" s="154"/>
      <c r="J30" s="154"/>
      <c r="K30" s="154"/>
      <c r="L30" s="154"/>
      <c r="M30" s="155"/>
      <c r="N30" s="155"/>
      <c r="O30" s="156"/>
      <c r="P30" s="25"/>
      <c r="Q30" s="29"/>
    </row>
    <row r="31" spans="1:17" s="30" customFormat="1" ht="15.75" hidden="1">
      <c r="A31" s="582"/>
      <c r="B31" s="607"/>
      <c r="C31" s="149"/>
      <c r="D31" s="150" t="s">
        <v>697</v>
      </c>
      <c r="E31" s="151"/>
      <c r="F31" s="152"/>
      <c r="G31" s="151"/>
      <c r="H31" s="153">
        <f t="shared" si="0"/>
        <v>0</v>
      </c>
      <c r="I31" s="154"/>
      <c r="J31" s="154"/>
      <c r="K31" s="154"/>
      <c r="L31" s="154"/>
      <c r="M31" s="155"/>
      <c r="N31" s="155"/>
      <c r="O31" s="156"/>
      <c r="P31" s="25"/>
      <c r="Q31" s="29"/>
    </row>
    <row r="32" spans="1:17" s="30" customFormat="1" ht="15.75" hidden="1">
      <c r="A32" s="582"/>
      <c r="B32" s="607"/>
      <c r="C32" s="149"/>
      <c r="D32" s="150" t="s">
        <v>698</v>
      </c>
      <c r="E32" s="151"/>
      <c r="F32" s="152"/>
      <c r="G32" s="151"/>
      <c r="H32" s="153">
        <f t="shared" si="0"/>
        <v>0</v>
      </c>
      <c r="I32" s="154"/>
      <c r="J32" s="154"/>
      <c r="K32" s="154"/>
      <c r="L32" s="154"/>
      <c r="M32" s="155"/>
      <c r="N32" s="155"/>
      <c r="O32" s="156"/>
      <c r="P32" s="25"/>
      <c r="Q32" s="29"/>
    </row>
    <row r="33" spans="1:17" s="30" customFormat="1" ht="15.75" hidden="1">
      <c r="A33" s="582"/>
      <c r="B33" s="607"/>
      <c r="C33" s="149"/>
      <c r="D33" s="150" t="s">
        <v>132</v>
      </c>
      <c r="E33" s="151"/>
      <c r="F33" s="152"/>
      <c r="G33" s="151"/>
      <c r="H33" s="153">
        <f t="shared" si="0"/>
        <v>0</v>
      </c>
      <c r="I33" s="154"/>
      <c r="J33" s="154"/>
      <c r="K33" s="154"/>
      <c r="L33" s="154"/>
      <c r="M33" s="155"/>
      <c r="N33" s="155"/>
      <c r="O33" s="156"/>
      <c r="P33" s="25"/>
      <c r="Q33" s="29"/>
    </row>
    <row r="34" spans="1:17" s="30" customFormat="1" ht="15.75" hidden="1">
      <c r="A34" s="582"/>
      <c r="B34" s="607"/>
      <c r="C34" s="149"/>
      <c r="D34" s="150"/>
      <c r="E34" s="151"/>
      <c r="F34" s="152"/>
      <c r="G34" s="151"/>
      <c r="H34" s="153"/>
      <c r="I34" s="154"/>
      <c r="J34" s="154"/>
      <c r="K34" s="154"/>
      <c r="L34" s="154"/>
      <c r="M34" s="155"/>
      <c r="N34" s="155"/>
      <c r="O34" s="156"/>
      <c r="P34" s="25"/>
      <c r="Q34" s="29"/>
    </row>
    <row r="35" spans="1:17" s="30" customFormat="1" ht="15.75" hidden="1">
      <c r="A35" s="582"/>
      <c r="B35" s="607"/>
      <c r="C35" s="149"/>
      <c r="D35" s="150"/>
      <c r="E35" s="151"/>
      <c r="F35" s="152"/>
      <c r="G35" s="151"/>
      <c r="H35" s="153"/>
      <c r="I35" s="154"/>
      <c r="J35" s="154"/>
      <c r="K35" s="154"/>
      <c r="L35" s="154"/>
      <c r="M35" s="155"/>
      <c r="N35" s="155"/>
      <c r="O35" s="156"/>
      <c r="P35" s="25"/>
      <c r="Q35" s="29"/>
    </row>
    <row r="36" spans="1:17" s="30" customFormat="1" ht="15.75" hidden="1">
      <c r="A36" s="582"/>
      <c r="B36" s="607"/>
      <c r="C36" s="149"/>
      <c r="D36" s="150"/>
      <c r="E36" s="151"/>
      <c r="F36" s="152"/>
      <c r="G36" s="151"/>
      <c r="H36" s="153"/>
      <c r="I36" s="154"/>
      <c r="J36" s="154"/>
      <c r="K36" s="154"/>
      <c r="L36" s="154"/>
      <c r="M36" s="155"/>
      <c r="N36" s="155"/>
      <c r="O36" s="156"/>
      <c r="P36" s="25"/>
      <c r="Q36" s="29"/>
    </row>
    <row r="37" spans="1:17" s="30" customFormat="1" ht="15.75" hidden="1">
      <c r="A37" s="582"/>
      <c r="B37" s="607"/>
      <c r="C37" s="149"/>
      <c r="D37" s="150"/>
      <c r="E37" s="151"/>
      <c r="F37" s="152"/>
      <c r="G37" s="151"/>
      <c r="H37" s="153"/>
      <c r="I37" s="154"/>
      <c r="J37" s="154"/>
      <c r="K37" s="154"/>
      <c r="L37" s="154"/>
      <c r="M37" s="155"/>
      <c r="N37" s="155"/>
      <c r="O37" s="156"/>
      <c r="P37" s="25"/>
      <c r="Q37" s="29"/>
    </row>
    <row r="38" spans="1:17" s="30" customFormat="1" ht="15.75" hidden="1">
      <c r="A38" s="582"/>
      <c r="B38" s="607"/>
      <c r="C38" s="149"/>
      <c r="D38" s="150" t="s">
        <v>133</v>
      </c>
      <c r="E38" s="151"/>
      <c r="F38" s="152"/>
      <c r="G38" s="151"/>
      <c r="H38" s="153">
        <f>I38+K38+L38+M38+N38+O38</f>
        <v>0</v>
      </c>
      <c r="I38" s="154"/>
      <c r="J38" s="154"/>
      <c r="K38" s="154"/>
      <c r="L38" s="154"/>
      <c r="M38" s="155"/>
      <c r="N38" s="155"/>
      <c r="O38" s="156"/>
      <c r="P38" s="25"/>
      <c r="Q38" s="29"/>
    </row>
    <row r="39" spans="1:17" s="30" customFormat="1" ht="47.25" hidden="1">
      <c r="A39" s="566"/>
      <c r="B39" s="566"/>
      <c r="C39" s="149" t="s">
        <v>134</v>
      </c>
      <c r="D39" s="150" t="s">
        <v>232</v>
      </c>
      <c r="E39" s="151"/>
      <c r="F39" s="152"/>
      <c r="G39" s="151"/>
      <c r="H39" s="153">
        <f>I39+K39+L39+M39+N39+O39</f>
        <v>0</v>
      </c>
      <c r="I39" s="154"/>
      <c r="J39" s="154"/>
      <c r="K39" s="154"/>
      <c r="L39" s="154"/>
      <c r="M39" s="155"/>
      <c r="N39" s="155"/>
      <c r="O39" s="156"/>
      <c r="P39" s="25"/>
      <c r="Q39" s="29"/>
    </row>
    <row r="40" spans="1:17" s="30" customFormat="1" ht="31.5" hidden="1">
      <c r="A40" s="585" t="s">
        <v>40</v>
      </c>
      <c r="B40" s="640" t="s">
        <v>1100</v>
      </c>
      <c r="C40" s="148"/>
      <c r="D40" s="33" t="s">
        <v>2099</v>
      </c>
      <c r="E40" s="158"/>
      <c r="F40" s="159"/>
      <c r="G40" s="158"/>
      <c r="H40" s="139">
        <f>I40+K40+L40+M40+N40+O40</f>
        <v>0</v>
      </c>
      <c r="I40" s="160"/>
      <c r="J40" s="160"/>
      <c r="K40" s="160"/>
      <c r="L40" s="140">
        <f>L41</f>
        <v>0</v>
      </c>
      <c r="M40" s="161"/>
      <c r="N40" s="161"/>
      <c r="O40" s="162"/>
      <c r="P40" s="25"/>
      <c r="Q40" s="29"/>
    </row>
    <row r="41" spans="1:17" s="30" customFormat="1" ht="47.25" hidden="1">
      <c r="A41" s="639"/>
      <c r="B41" s="639"/>
      <c r="C41" s="148"/>
      <c r="D41" s="141" t="s">
        <v>2100</v>
      </c>
      <c r="E41" s="142"/>
      <c r="F41" s="143"/>
      <c r="G41" s="142"/>
      <c r="H41" s="144">
        <f>I41+K41+L41+M41+N41+O41</f>
        <v>0</v>
      </c>
      <c r="I41" s="145"/>
      <c r="J41" s="145"/>
      <c r="K41" s="145"/>
      <c r="L41" s="145"/>
      <c r="M41" s="146"/>
      <c r="N41" s="146"/>
      <c r="O41" s="147"/>
      <c r="P41" s="25"/>
      <c r="Q41" s="29"/>
    </row>
    <row r="42" spans="1:17" s="30" customFormat="1" ht="15.75" hidden="1">
      <c r="A42" s="578">
        <v>110502</v>
      </c>
      <c r="B42" s="620" t="s">
        <v>514</v>
      </c>
      <c r="C42" s="148"/>
      <c r="D42" s="136" t="s">
        <v>1456</v>
      </c>
      <c r="E42" s="142"/>
      <c r="F42" s="143"/>
      <c r="G42" s="142"/>
      <c r="H42" s="144"/>
      <c r="I42" s="145"/>
      <c r="J42" s="145"/>
      <c r="K42" s="145"/>
      <c r="L42" s="145"/>
      <c r="M42" s="146"/>
      <c r="N42" s="146"/>
      <c r="O42" s="147"/>
      <c r="P42" s="25"/>
      <c r="Q42" s="29"/>
    </row>
    <row r="43" spans="1:17" s="30" customFormat="1" ht="31.5" hidden="1">
      <c r="A43" s="579"/>
      <c r="B43" s="624"/>
      <c r="C43" s="148"/>
      <c r="D43" s="136" t="s">
        <v>924</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579"/>
      <c r="B44" s="624"/>
      <c r="C44" s="148"/>
      <c r="D44" s="141" t="s">
        <v>925</v>
      </c>
      <c r="E44" s="142"/>
      <c r="F44" s="143"/>
      <c r="G44" s="142"/>
      <c r="H44" s="144">
        <f t="shared" si="2"/>
        <v>0</v>
      </c>
      <c r="I44" s="145"/>
      <c r="J44" s="145"/>
      <c r="K44" s="145"/>
      <c r="L44" s="163"/>
      <c r="M44" s="146"/>
      <c r="N44" s="146"/>
      <c r="O44" s="147"/>
      <c r="P44" s="25"/>
      <c r="Q44" s="29"/>
    </row>
    <row r="45" spans="1:16" s="36" customFormat="1" ht="31.5" hidden="1">
      <c r="A45" s="566"/>
      <c r="B45" s="566"/>
      <c r="C45" s="148" t="s">
        <v>926</v>
      </c>
      <c r="D45" s="141" t="s">
        <v>927</v>
      </c>
      <c r="E45" s="142"/>
      <c r="F45" s="143"/>
      <c r="G45" s="142"/>
      <c r="H45" s="144">
        <f t="shared" si="2"/>
        <v>0</v>
      </c>
      <c r="I45" s="145"/>
      <c r="J45" s="145"/>
      <c r="K45" s="145"/>
      <c r="L45" s="145"/>
      <c r="M45" s="146"/>
      <c r="N45" s="146"/>
      <c r="O45" s="147"/>
      <c r="P45" s="35"/>
    </row>
    <row r="46" spans="1:63" s="28" customFormat="1" ht="15.75" hidden="1">
      <c r="A46" s="581" t="s">
        <v>1447</v>
      </c>
      <c r="B46" s="605" t="s">
        <v>1448</v>
      </c>
      <c r="C46" s="148"/>
      <c r="D46" s="136" t="s">
        <v>1456</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82"/>
      <c r="B47" s="607"/>
      <c r="C47" s="148" t="s">
        <v>928</v>
      </c>
      <c r="D47" s="141" t="s">
        <v>929</v>
      </c>
      <c r="E47" s="142">
        <v>25</v>
      </c>
      <c r="F47" s="143">
        <f>100%-((E47-G47)/E47)</f>
        <v>1</v>
      </c>
      <c r="G47" s="142">
        <v>25</v>
      </c>
      <c r="H47" s="144">
        <f t="shared" si="2"/>
        <v>0</v>
      </c>
      <c r="I47" s="145"/>
      <c r="J47" s="145"/>
      <c r="K47" s="165"/>
      <c r="L47" s="145"/>
      <c r="M47" s="146"/>
      <c r="N47" s="146"/>
      <c r="O47" s="147"/>
      <c r="P47" s="25"/>
      <c r="Q47" s="29"/>
    </row>
    <row r="48" spans="1:17" s="30" customFormat="1" ht="15.75" hidden="1">
      <c r="A48" s="583"/>
      <c r="B48" s="606"/>
      <c r="C48" s="148" t="s">
        <v>930</v>
      </c>
      <c r="D48" s="141" t="s">
        <v>931</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753</v>
      </c>
      <c r="C49" s="167"/>
      <c r="D49" s="168" t="s">
        <v>2057</v>
      </c>
      <c r="E49" s="137"/>
      <c r="F49" s="159"/>
      <c r="G49" s="137"/>
      <c r="H49" s="139">
        <f t="shared" si="2"/>
        <v>0</v>
      </c>
      <c r="I49" s="169"/>
      <c r="J49" s="169"/>
      <c r="K49" s="169"/>
      <c r="L49" s="170"/>
      <c r="M49" s="171"/>
      <c r="N49" s="171"/>
      <c r="O49" s="171"/>
      <c r="P49" s="25"/>
      <c r="Q49" s="29"/>
    </row>
    <row r="50" spans="1:17" s="30" customFormat="1" ht="31.5" hidden="1">
      <c r="A50" s="605">
        <v>250404</v>
      </c>
      <c r="B50" s="605" t="s">
        <v>635</v>
      </c>
      <c r="C50" s="135"/>
      <c r="D50" s="136" t="s">
        <v>1149</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607"/>
      <c r="B51" s="607"/>
      <c r="C51" s="135" t="s">
        <v>1150</v>
      </c>
      <c r="D51" s="141" t="s">
        <v>269</v>
      </c>
      <c r="E51" s="172"/>
      <c r="F51" s="143"/>
      <c r="G51" s="172"/>
      <c r="H51" s="144">
        <f t="shared" si="2"/>
        <v>0</v>
      </c>
      <c r="I51" s="145"/>
      <c r="J51" s="145"/>
      <c r="K51" s="165"/>
      <c r="L51" s="145"/>
      <c r="M51" s="146"/>
      <c r="N51" s="146"/>
      <c r="O51" s="147"/>
      <c r="P51" s="25"/>
      <c r="Q51" s="29"/>
    </row>
    <row r="52" spans="1:17" s="30" customFormat="1" ht="47.25" customHeight="1" hidden="1">
      <c r="A52" s="607"/>
      <c r="B52" s="607"/>
      <c r="C52" s="167" t="s">
        <v>270</v>
      </c>
      <c r="D52" s="141" t="s">
        <v>2100</v>
      </c>
      <c r="E52" s="172"/>
      <c r="F52" s="143"/>
      <c r="G52" s="172"/>
      <c r="H52" s="144">
        <f t="shared" si="2"/>
        <v>0</v>
      </c>
      <c r="I52" s="145"/>
      <c r="J52" s="145"/>
      <c r="K52" s="165"/>
      <c r="L52" s="173">
        <f>2.98-2.98</f>
        <v>0</v>
      </c>
      <c r="M52" s="146"/>
      <c r="N52" s="146"/>
      <c r="O52" s="147"/>
      <c r="P52" s="25"/>
      <c r="Q52" s="29"/>
    </row>
    <row r="53" spans="1:17" s="30" customFormat="1" ht="31.5" customHeight="1" hidden="1">
      <c r="A53" s="567"/>
      <c r="B53" s="567"/>
      <c r="C53" s="167"/>
      <c r="D53" s="136" t="s">
        <v>701</v>
      </c>
      <c r="E53" s="137"/>
      <c r="F53" s="159"/>
      <c r="G53" s="137"/>
      <c r="H53" s="139">
        <f t="shared" si="2"/>
        <v>0</v>
      </c>
      <c r="I53" s="140">
        <f>I54</f>
        <v>0</v>
      </c>
      <c r="J53" s="160"/>
      <c r="K53" s="160"/>
      <c r="L53" s="174">
        <f>L54</f>
        <v>0</v>
      </c>
      <c r="M53" s="161"/>
      <c r="N53" s="161"/>
      <c r="O53" s="162"/>
      <c r="P53" s="25"/>
      <c r="Q53" s="29"/>
    </row>
    <row r="54" spans="1:17" s="30" customFormat="1" ht="18.75" customHeight="1" hidden="1">
      <c r="A54" s="567"/>
      <c r="B54" s="567"/>
      <c r="C54" s="167"/>
      <c r="D54" s="141" t="s">
        <v>840</v>
      </c>
      <c r="E54" s="172"/>
      <c r="F54" s="143"/>
      <c r="G54" s="172"/>
      <c r="H54" s="144">
        <f t="shared" si="2"/>
        <v>0</v>
      </c>
      <c r="I54" s="145"/>
      <c r="J54" s="145"/>
      <c r="K54" s="165"/>
      <c r="L54" s="173"/>
      <c r="M54" s="146"/>
      <c r="N54" s="146"/>
      <c r="O54" s="147"/>
      <c r="P54" s="25"/>
      <c r="Q54" s="29"/>
    </row>
    <row r="55" spans="1:17" s="30" customFormat="1" ht="47.25" hidden="1">
      <c r="A55" s="567"/>
      <c r="B55" s="567"/>
      <c r="C55" s="175" t="s">
        <v>270</v>
      </c>
      <c r="D55" s="141" t="s">
        <v>2100</v>
      </c>
      <c r="E55" s="176"/>
      <c r="F55" s="177"/>
      <c r="G55" s="176"/>
      <c r="H55" s="144">
        <f t="shared" si="2"/>
        <v>0</v>
      </c>
      <c r="I55" s="178"/>
      <c r="J55" s="178"/>
      <c r="K55" s="178"/>
      <c r="L55" s="178"/>
      <c r="M55" s="179"/>
      <c r="N55" s="179"/>
      <c r="O55" s="180"/>
      <c r="P55" s="25"/>
      <c r="Q55" s="29"/>
    </row>
    <row r="56" spans="1:17" s="30" customFormat="1" ht="18.75" customHeight="1" hidden="1">
      <c r="A56" s="567"/>
      <c r="B56" s="567"/>
      <c r="C56" s="167"/>
      <c r="D56" s="141"/>
      <c r="E56" s="172"/>
      <c r="F56" s="143"/>
      <c r="G56" s="172"/>
      <c r="H56" s="144"/>
      <c r="I56" s="145"/>
      <c r="J56" s="145"/>
      <c r="K56" s="165"/>
      <c r="L56" s="173"/>
      <c r="M56" s="146"/>
      <c r="N56" s="146"/>
      <c r="O56" s="147"/>
      <c r="P56" s="25"/>
      <c r="Q56" s="29"/>
    </row>
    <row r="57" spans="1:17" s="30" customFormat="1" ht="31.5" hidden="1">
      <c r="A57" s="567"/>
      <c r="B57" s="567"/>
      <c r="C57" s="167"/>
      <c r="D57" s="136" t="s">
        <v>1764</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567"/>
      <c r="B58" s="567"/>
      <c r="C58" s="167"/>
      <c r="D58" s="141" t="s">
        <v>1765</v>
      </c>
      <c r="E58" s="142"/>
      <c r="F58" s="143"/>
      <c r="G58" s="142"/>
      <c r="H58" s="144">
        <f t="shared" si="3"/>
        <v>0</v>
      </c>
      <c r="I58" s="145"/>
      <c r="J58" s="145"/>
      <c r="K58" s="145"/>
      <c r="L58" s="145"/>
      <c r="M58" s="146"/>
      <c r="N58" s="146"/>
      <c r="O58" s="147"/>
      <c r="P58" s="25"/>
      <c r="Q58" s="22"/>
    </row>
    <row r="59" spans="1:17" s="40" customFormat="1" ht="15.75" hidden="1">
      <c r="A59" s="567"/>
      <c r="B59" s="567"/>
      <c r="C59" s="167"/>
      <c r="D59" s="141" t="s">
        <v>1766</v>
      </c>
      <c r="E59" s="142"/>
      <c r="F59" s="143"/>
      <c r="G59" s="142"/>
      <c r="H59" s="144">
        <f t="shared" si="3"/>
        <v>0</v>
      </c>
      <c r="I59" s="145"/>
      <c r="J59" s="145"/>
      <c r="K59" s="145"/>
      <c r="L59" s="145"/>
      <c r="M59" s="146"/>
      <c r="N59" s="146"/>
      <c r="O59" s="147"/>
      <c r="P59" s="25"/>
      <c r="Q59" s="22"/>
    </row>
    <row r="60" spans="1:17" s="30" customFormat="1" ht="18.75" hidden="1">
      <c r="A60" s="567"/>
      <c r="B60" s="567"/>
      <c r="C60" s="167" t="s">
        <v>1767</v>
      </c>
      <c r="D60" s="141" t="s">
        <v>1768</v>
      </c>
      <c r="E60" s="172"/>
      <c r="F60" s="143"/>
      <c r="G60" s="172"/>
      <c r="H60" s="144">
        <f t="shared" si="3"/>
        <v>0</v>
      </c>
      <c r="I60" s="145"/>
      <c r="J60" s="163"/>
      <c r="K60" s="163"/>
      <c r="L60" s="173"/>
      <c r="M60" s="182"/>
      <c r="N60" s="182"/>
      <c r="O60" s="183"/>
      <c r="P60" s="25"/>
      <c r="Q60" s="29"/>
    </row>
    <row r="61" spans="1:17" s="30" customFormat="1" ht="31.5" hidden="1">
      <c r="A61" s="567"/>
      <c r="B61" s="567"/>
      <c r="C61" s="167" t="s">
        <v>1769</v>
      </c>
      <c r="D61" s="141" t="s">
        <v>1770</v>
      </c>
      <c r="E61" s="172"/>
      <c r="F61" s="143"/>
      <c r="G61" s="172"/>
      <c r="H61" s="144">
        <f t="shared" si="3"/>
        <v>0</v>
      </c>
      <c r="I61" s="145"/>
      <c r="J61" s="163"/>
      <c r="K61" s="163"/>
      <c r="L61" s="173"/>
      <c r="M61" s="182"/>
      <c r="N61" s="182"/>
      <c r="O61" s="183"/>
      <c r="P61" s="25"/>
      <c r="Q61" s="29"/>
    </row>
    <row r="62" spans="1:17" s="30" customFormat="1" ht="18.75" hidden="1">
      <c r="A62" s="566"/>
      <c r="B62" s="566"/>
      <c r="C62" s="167" t="s">
        <v>1771</v>
      </c>
      <c r="D62" s="141" t="s">
        <v>1772</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1641</v>
      </c>
      <c r="B64" s="628" t="s">
        <v>1773</v>
      </c>
      <c r="C64" s="629"/>
      <c r="D64" s="630"/>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626" t="s">
        <v>1756</v>
      </c>
      <c r="B65" s="620" t="s">
        <v>966</v>
      </c>
      <c r="C65" s="184"/>
      <c r="D65" s="136" t="s">
        <v>1774</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627"/>
      <c r="B66" s="624"/>
      <c r="C66" s="167"/>
      <c r="D66" s="141" t="s">
        <v>817</v>
      </c>
      <c r="E66" s="172"/>
      <c r="F66" s="143"/>
      <c r="G66" s="172"/>
      <c r="H66" s="144">
        <f t="shared" si="4"/>
        <v>0</v>
      </c>
      <c r="I66" s="145"/>
      <c r="J66" s="163"/>
      <c r="K66" s="163"/>
      <c r="L66" s="144"/>
      <c r="M66" s="182"/>
      <c r="N66" s="182"/>
      <c r="O66" s="183"/>
      <c r="P66" s="35"/>
    </row>
    <row r="67" spans="1:16" s="36" customFormat="1" ht="31.5" hidden="1">
      <c r="A67" s="627"/>
      <c r="B67" s="624"/>
      <c r="C67" s="167"/>
      <c r="D67" s="14" t="s">
        <v>1811</v>
      </c>
      <c r="E67" s="172"/>
      <c r="F67" s="143"/>
      <c r="G67" s="172"/>
      <c r="H67" s="144">
        <f t="shared" si="4"/>
        <v>0</v>
      </c>
      <c r="I67" s="145"/>
      <c r="J67" s="163"/>
      <c r="K67" s="163"/>
      <c r="L67" s="144"/>
      <c r="M67" s="182"/>
      <c r="N67" s="182"/>
      <c r="O67" s="183"/>
      <c r="P67" s="35"/>
    </row>
    <row r="68" spans="1:16" s="36" customFormat="1" ht="47.25" hidden="1">
      <c r="A68" s="627"/>
      <c r="B68" s="624"/>
      <c r="C68" s="167"/>
      <c r="D68" s="14" t="s">
        <v>291</v>
      </c>
      <c r="E68" s="172"/>
      <c r="F68" s="143"/>
      <c r="G68" s="172"/>
      <c r="H68" s="144">
        <f t="shared" si="4"/>
        <v>0</v>
      </c>
      <c r="I68" s="145"/>
      <c r="J68" s="163"/>
      <c r="K68" s="163"/>
      <c r="L68" s="144"/>
      <c r="M68" s="182"/>
      <c r="N68" s="182"/>
      <c r="O68" s="183"/>
      <c r="P68" s="35"/>
    </row>
    <row r="69" spans="1:16" s="36" customFormat="1" ht="31.5" hidden="1">
      <c r="A69" s="627"/>
      <c r="B69" s="625"/>
      <c r="C69" s="167"/>
      <c r="D69" s="141" t="s">
        <v>292</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202</v>
      </c>
      <c r="B71" s="623" t="s">
        <v>776</v>
      </c>
      <c r="C71" s="623"/>
      <c r="D71" s="623"/>
      <c r="E71" s="185"/>
      <c r="F71" s="186"/>
      <c r="G71" s="185"/>
      <c r="H71" s="187">
        <f>H72</f>
        <v>0</v>
      </c>
      <c r="I71" s="188"/>
      <c r="J71" s="189"/>
      <c r="K71" s="189"/>
      <c r="L71" s="190">
        <f>L72</f>
        <v>0</v>
      </c>
      <c r="M71" s="191"/>
      <c r="N71" s="191"/>
      <c r="O71" s="192"/>
      <c r="P71" s="25"/>
      <c r="Q71" s="29"/>
    </row>
    <row r="72" spans="1:17" s="30" customFormat="1" ht="31.5" hidden="1">
      <c r="A72" s="581" t="s">
        <v>40</v>
      </c>
      <c r="B72" s="620" t="s">
        <v>1100</v>
      </c>
      <c r="C72" s="148"/>
      <c r="D72" s="33" t="s">
        <v>2099</v>
      </c>
      <c r="E72" s="158"/>
      <c r="F72" s="159"/>
      <c r="G72" s="158"/>
      <c r="H72" s="139">
        <f>I72+K72+L72+M72+N72+O72</f>
        <v>0</v>
      </c>
      <c r="I72" s="160"/>
      <c r="J72" s="160"/>
      <c r="K72" s="160"/>
      <c r="L72" s="140">
        <f>L73</f>
        <v>0</v>
      </c>
      <c r="M72" s="161"/>
      <c r="N72" s="161"/>
      <c r="O72" s="162"/>
      <c r="P72" s="25"/>
      <c r="Q72" s="29"/>
    </row>
    <row r="73" spans="1:17" s="30" customFormat="1" ht="47.25" hidden="1">
      <c r="A73" s="566"/>
      <c r="B73" s="566"/>
      <c r="C73" s="175" t="s">
        <v>270</v>
      </c>
      <c r="D73" s="141" t="s">
        <v>2100</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1642</v>
      </c>
      <c r="B76" s="623" t="s">
        <v>178</v>
      </c>
      <c r="C76" s="623"/>
      <c r="D76" s="623"/>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85" t="s">
        <v>1756</v>
      </c>
      <c r="B77" s="586" t="s">
        <v>966</v>
      </c>
      <c r="C77" s="195"/>
      <c r="D77" s="136" t="s">
        <v>1456</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85"/>
      <c r="B78" s="586"/>
      <c r="C78" s="135" t="s">
        <v>179</v>
      </c>
      <c r="D78" s="141" t="s">
        <v>932</v>
      </c>
      <c r="E78" s="142"/>
      <c r="F78" s="143"/>
      <c r="G78" s="172"/>
      <c r="H78" s="144">
        <f t="shared" si="8"/>
        <v>0</v>
      </c>
      <c r="I78" s="163"/>
      <c r="J78" s="163"/>
      <c r="K78" s="163"/>
      <c r="L78" s="145"/>
      <c r="M78" s="182"/>
      <c r="N78" s="182"/>
      <c r="O78" s="182"/>
      <c r="P78" s="25"/>
      <c r="Q78" s="22"/>
    </row>
    <row r="79" spans="1:17" s="45" customFormat="1" ht="31.5" hidden="1">
      <c r="A79" s="585"/>
      <c r="B79" s="586"/>
      <c r="C79" s="135"/>
      <c r="D79" s="141" t="s">
        <v>2011</v>
      </c>
      <c r="E79" s="142"/>
      <c r="F79" s="143"/>
      <c r="G79" s="172"/>
      <c r="H79" s="144">
        <f t="shared" si="8"/>
        <v>0</v>
      </c>
      <c r="I79" s="163"/>
      <c r="J79" s="163"/>
      <c r="K79" s="163"/>
      <c r="L79" s="145"/>
      <c r="M79" s="182"/>
      <c r="N79" s="182"/>
      <c r="O79" s="182"/>
      <c r="P79" s="25"/>
      <c r="Q79" s="22"/>
    </row>
    <row r="80" spans="1:17" s="45" customFormat="1" ht="31.5" hidden="1">
      <c r="A80" s="585"/>
      <c r="B80" s="586"/>
      <c r="C80" s="135"/>
      <c r="D80" s="141" t="s">
        <v>2012</v>
      </c>
      <c r="E80" s="142"/>
      <c r="F80" s="143"/>
      <c r="G80" s="172"/>
      <c r="H80" s="144">
        <f t="shared" si="8"/>
        <v>0</v>
      </c>
      <c r="I80" s="163"/>
      <c r="J80" s="163"/>
      <c r="K80" s="163"/>
      <c r="L80" s="145"/>
      <c r="M80" s="182"/>
      <c r="N80" s="182"/>
      <c r="O80" s="182"/>
      <c r="P80" s="25"/>
      <c r="Q80" s="22"/>
    </row>
    <row r="81" spans="1:16" ht="31.5" hidden="1">
      <c r="A81" s="585"/>
      <c r="B81" s="586"/>
      <c r="C81" s="135"/>
      <c r="D81" s="141" t="s">
        <v>1196</v>
      </c>
      <c r="E81" s="142"/>
      <c r="F81" s="143"/>
      <c r="G81" s="172"/>
      <c r="H81" s="144">
        <f t="shared" si="8"/>
        <v>0</v>
      </c>
      <c r="I81" s="163"/>
      <c r="J81" s="163"/>
      <c r="K81" s="163"/>
      <c r="L81" s="145"/>
      <c r="M81" s="182"/>
      <c r="N81" s="182"/>
      <c r="O81" s="182"/>
      <c r="P81" s="25"/>
    </row>
    <row r="82" spans="1:16" ht="31.5" hidden="1">
      <c r="A82" s="585"/>
      <c r="B82" s="586"/>
      <c r="C82" s="135" t="s">
        <v>1197</v>
      </c>
      <c r="D82" s="141" t="s">
        <v>1198</v>
      </c>
      <c r="E82" s="142"/>
      <c r="F82" s="143"/>
      <c r="G82" s="172"/>
      <c r="H82" s="144">
        <f t="shared" si="8"/>
        <v>0</v>
      </c>
      <c r="I82" s="163"/>
      <c r="J82" s="163"/>
      <c r="K82" s="163"/>
      <c r="L82" s="145"/>
      <c r="M82" s="182"/>
      <c r="N82" s="182"/>
      <c r="O82" s="182"/>
      <c r="P82" s="25"/>
    </row>
    <row r="83" spans="1:17" s="30" customFormat="1" ht="18.75" customHeight="1">
      <c r="A83" s="157" t="s">
        <v>1210</v>
      </c>
      <c r="B83" s="166" t="s">
        <v>1211</v>
      </c>
      <c r="C83" s="167"/>
      <c r="D83" s="196" t="s">
        <v>1106</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81" t="s">
        <v>1212</v>
      </c>
      <c r="B84" s="605" t="s">
        <v>104</v>
      </c>
      <c r="C84" s="167"/>
      <c r="D84" s="136" t="s">
        <v>1774</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82"/>
      <c r="B85" s="607"/>
      <c r="C85" s="167" t="s">
        <v>1151</v>
      </c>
      <c r="D85" s="141" t="s">
        <v>1152</v>
      </c>
      <c r="E85" s="142"/>
      <c r="F85" s="143"/>
      <c r="G85" s="172"/>
      <c r="H85" s="144">
        <f t="shared" si="8"/>
        <v>0</v>
      </c>
      <c r="I85" s="145"/>
      <c r="J85" s="145"/>
      <c r="K85" s="145"/>
      <c r="L85" s="145"/>
      <c r="M85" s="146"/>
      <c r="N85" s="146"/>
      <c r="O85" s="147"/>
      <c r="P85" s="25"/>
    </row>
    <row r="86" spans="1:16" ht="31.5">
      <c r="A86" s="582"/>
      <c r="B86" s="607"/>
      <c r="C86" s="614" t="s">
        <v>1153</v>
      </c>
      <c r="D86" s="141" t="s">
        <v>1157</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82"/>
      <c r="B87" s="607"/>
      <c r="C87" s="615"/>
      <c r="D87" s="198" t="s">
        <v>1158</v>
      </c>
      <c r="E87" s="199">
        <v>80</v>
      </c>
      <c r="F87" s="200">
        <f>100%-((E87-G87)/E87)</f>
        <v>1</v>
      </c>
      <c r="G87" s="199">
        <v>80</v>
      </c>
      <c r="H87" s="201">
        <f t="shared" si="8"/>
        <v>0</v>
      </c>
      <c r="I87" s="202"/>
      <c r="J87" s="202"/>
      <c r="K87" s="202"/>
      <c r="L87" s="202"/>
      <c r="M87" s="203"/>
      <c r="N87" s="203"/>
      <c r="O87" s="204"/>
      <c r="P87" s="25"/>
    </row>
    <row r="88" spans="1:16" ht="15.75" customHeight="1" hidden="1">
      <c r="A88" s="582"/>
      <c r="B88" s="607"/>
      <c r="C88" s="616"/>
      <c r="D88" s="198" t="s">
        <v>1159</v>
      </c>
      <c r="E88" s="199">
        <v>45</v>
      </c>
      <c r="F88" s="200">
        <f>100%-((E88-G88)/E88)</f>
        <v>1</v>
      </c>
      <c r="G88" s="199">
        <v>45</v>
      </c>
      <c r="H88" s="201">
        <f t="shared" si="8"/>
        <v>0</v>
      </c>
      <c r="I88" s="202"/>
      <c r="J88" s="202"/>
      <c r="K88" s="202"/>
      <c r="L88" s="202"/>
      <c r="M88" s="203"/>
      <c r="N88" s="203"/>
      <c r="O88" s="204"/>
      <c r="P88" s="25"/>
    </row>
    <row r="89" spans="1:16" ht="31.5">
      <c r="A89" s="582"/>
      <c r="B89" s="607"/>
      <c r="C89" s="614" t="s">
        <v>181</v>
      </c>
      <c r="D89" s="141" t="s">
        <v>182</v>
      </c>
      <c r="E89" s="142"/>
      <c r="F89" s="143"/>
      <c r="G89" s="172"/>
      <c r="H89" s="144">
        <f t="shared" si="8"/>
        <v>5400</v>
      </c>
      <c r="I89" s="145"/>
      <c r="J89" s="145"/>
      <c r="K89" s="145"/>
      <c r="L89" s="145">
        <v>5400</v>
      </c>
      <c r="M89" s="146"/>
      <c r="N89" s="146"/>
      <c r="O89" s="147"/>
      <c r="P89" s="25"/>
    </row>
    <row r="90" spans="1:16" ht="15.75" customHeight="1" hidden="1">
      <c r="A90" s="582"/>
      <c r="B90" s="607"/>
      <c r="C90" s="615"/>
      <c r="D90" s="206" t="s">
        <v>183</v>
      </c>
      <c r="E90" s="142"/>
      <c r="F90" s="143"/>
      <c r="G90" s="172"/>
      <c r="H90" s="201">
        <f t="shared" si="8"/>
        <v>0</v>
      </c>
      <c r="I90" s="145"/>
      <c r="J90" s="145"/>
      <c r="K90" s="145"/>
      <c r="L90" s="202"/>
      <c r="M90" s="146"/>
      <c r="N90" s="146"/>
      <c r="O90" s="147"/>
      <c r="P90" s="25"/>
    </row>
    <row r="91" spans="1:16" ht="15.75" customHeight="1" hidden="1">
      <c r="A91" s="582"/>
      <c r="B91" s="607"/>
      <c r="C91" s="616"/>
      <c r="D91" s="206" t="s">
        <v>184</v>
      </c>
      <c r="E91" s="142"/>
      <c r="F91" s="143"/>
      <c r="G91" s="172"/>
      <c r="H91" s="201">
        <f t="shared" si="8"/>
        <v>0</v>
      </c>
      <c r="I91" s="145"/>
      <c r="J91" s="145"/>
      <c r="K91" s="145"/>
      <c r="L91" s="202"/>
      <c r="M91" s="146"/>
      <c r="N91" s="146"/>
      <c r="O91" s="147"/>
      <c r="P91" s="25"/>
    </row>
    <row r="92" spans="1:16" ht="31.5" customHeight="1" hidden="1">
      <c r="A92" s="582"/>
      <c r="B92" s="607"/>
      <c r="C92" s="167" t="s">
        <v>1460</v>
      </c>
      <c r="D92" s="141" t="s">
        <v>1461</v>
      </c>
      <c r="E92" s="142"/>
      <c r="F92" s="143"/>
      <c r="G92" s="172"/>
      <c r="H92" s="144">
        <f t="shared" si="8"/>
        <v>0</v>
      </c>
      <c r="I92" s="145"/>
      <c r="J92" s="145"/>
      <c r="K92" s="145"/>
      <c r="L92" s="145"/>
      <c r="M92" s="146"/>
      <c r="N92" s="146"/>
      <c r="O92" s="147"/>
      <c r="P92" s="25"/>
    </row>
    <row r="93" spans="1:16" ht="47.25" customHeight="1" hidden="1">
      <c r="A93" s="582"/>
      <c r="B93" s="607"/>
      <c r="C93" s="614" t="s">
        <v>1462</v>
      </c>
      <c r="D93" s="141" t="s">
        <v>1758</v>
      </c>
      <c r="E93" s="142"/>
      <c r="F93" s="143"/>
      <c r="G93" s="172"/>
      <c r="H93" s="144">
        <f t="shared" si="8"/>
        <v>0</v>
      </c>
      <c r="I93" s="145"/>
      <c r="J93" s="145"/>
      <c r="K93" s="145"/>
      <c r="L93" s="145">
        <f>SUM(L94:L97)</f>
        <v>0</v>
      </c>
      <c r="M93" s="146"/>
      <c r="N93" s="146"/>
      <c r="O93" s="147"/>
      <c r="P93" s="25"/>
    </row>
    <row r="94" spans="1:16" ht="15.75" customHeight="1" hidden="1">
      <c r="A94" s="582"/>
      <c r="B94" s="607"/>
      <c r="C94" s="615"/>
      <c r="D94" s="198" t="s">
        <v>1759</v>
      </c>
      <c r="E94" s="199"/>
      <c r="F94" s="143"/>
      <c r="G94" s="207"/>
      <c r="H94" s="201">
        <f t="shared" si="8"/>
        <v>0</v>
      </c>
      <c r="I94" s="202"/>
      <c r="J94" s="202"/>
      <c r="K94" s="202"/>
      <c r="L94" s="202"/>
      <c r="M94" s="146"/>
      <c r="N94" s="146"/>
      <c r="O94" s="147"/>
      <c r="P94" s="25"/>
    </row>
    <row r="95" spans="1:16" ht="15.75" customHeight="1" hidden="1">
      <c r="A95" s="582"/>
      <c r="B95" s="607"/>
      <c r="C95" s="615"/>
      <c r="D95" s="198" t="s">
        <v>1760</v>
      </c>
      <c r="E95" s="199"/>
      <c r="F95" s="143"/>
      <c r="G95" s="207"/>
      <c r="H95" s="201">
        <f t="shared" si="8"/>
        <v>0</v>
      </c>
      <c r="I95" s="202"/>
      <c r="J95" s="202"/>
      <c r="K95" s="202"/>
      <c r="L95" s="202"/>
      <c r="M95" s="146"/>
      <c r="N95" s="146"/>
      <c r="O95" s="147"/>
      <c r="P95" s="25"/>
    </row>
    <row r="96" spans="1:16" ht="15.75" customHeight="1" hidden="1">
      <c r="A96" s="582"/>
      <c r="B96" s="607"/>
      <c r="C96" s="615"/>
      <c r="D96" s="198" t="s">
        <v>1761</v>
      </c>
      <c r="E96" s="199"/>
      <c r="F96" s="143"/>
      <c r="G96" s="207"/>
      <c r="H96" s="201">
        <f t="shared" si="8"/>
        <v>0</v>
      </c>
      <c r="I96" s="202"/>
      <c r="J96" s="202"/>
      <c r="K96" s="202"/>
      <c r="L96" s="202"/>
      <c r="M96" s="146"/>
      <c r="N96" s="146"/>
      <c r="O96" s="147"/>
      <c r="P96" s="25"/>
    </row>
    <row r="97" spans="1:16" ht="15.75" customHeight="1" hidden="1">
      <c r="A97" s="582"/>
      <c r="B97" s="607"/>
      <c r="C97" s="616"/>
      <c r="D97" s="198" t="s">
        <v>1762</v>
      </c>
      <c r="E97" s="199"/>
      <c r="F97" s="143"/>
      <c r="G97" s="207"/>
      <c r="H97" s="201">
        <f t="shared" si="8"/>
        <v>0</v>
      </c>
      <c r="I97" s="202"/>
      <c r="J97" s="202"/>
      <c r="K97" s="202"/>
      <c r="L97" s="202"/>
      <c r="M97" s="146"/>
      <c r="N97" s="146"/>
      <c r="O97" s="147"/>
      <c r="P97" s="25"/>
    </row>
    <row r="98" spans="1:16" ht="31.5" customHeight="1" hidden="1">
      <c r="A98" s="582"/>
      <c r="B98" s="607"/>
      <c r="C98" s="167" t="s">
        <v>1763</v>
      </c>
      <c r="D98" s="208" t="s">
        <v>2103</v>
      </c>
      <c r="E98" s="142"/>
      <c r="F98" s="143"/>
      <c r="G98" s="172"/>
      <c r="H98" s="144">
        <f t="shared" si="8"/>
        <v>0</v>
      </c>
      <c r="I98" s="145"/>
      <c r="J98" s="145"/>
      <c r="K98" s="145"/>
      <c r="L98" s="145"/>
      <c r="M98" s="146"/>
      <c r="N98" s="146"/>
      <c r="O98" s="147"/>
      <c r="P98" s="25"/>
    </row>
    <row r="99" spans="1:16" ht="31.5" customHeight="1" hidden="1">
      <c r="A99" s="582"/>
      <c r="B99" s="607"/>
      <c r="C99" s="167" t="s">
        <v>2104</v>
      </c>
      <c r="D99" s="208" t="s">
        <v>98</v>
      </c>
      <c r="E99" s="142"/>
      <c r="F99" s="143"/>
      <c r="G99" s="172"/>
      <c r="H99" s="144">
        <f t="shared" si="8"/>
        <v>0</v>
      </c>
      <c r="I99" s="145"/>
      <c r="J99" s="145"/>
      <c r="K99" s="145"/>
      <c r="L99" s="145"/>
      <c r="M99" s="146"/>
      <c r="N99" s="146"/>
      <c r="O99" s="147"/>
      <c r="P99" s="25"/>
    </row>
    <row r="100" spans="1:16" ht="15.75" customHeight="1" hidden="1">
      <c r="A100" s="582"/>
      <c r="B100" s="607"/>
      <c r="C100" s="167" t="s">
        <v>99</v>
      </c>
      <c r="D100" s="208" t="s">
        <v>100</v>
      </c>
      <c r="E100" s="142"/>
      <c r="F100" s="143"/>
      <c r="G100" s="172"/>
      <c r="H100" s="144">
        <f t="shared" si="8"/>
        <v>0</v>
      </c>
      <c r="I100" s="209"/>
      <c r="J100" s="145"/>
      <c r="K100" s="145"/>
      <c r="L100" s="209"/>
      <c r="M100" s="146"/>
      <c r="N100" s="146"/>
      <c r="O100" s="147"/>
      <c r="P100" s="25"/>
    </row>
    <row r="101" spans="1:16" ht="15.75" customHeight="1" hidden="1">
      <c r="A101" s="582"/>
      <c r="B101" s="607"/>
      <c r="C101" s="167" t="s">
        <v>101</v>
      </c>
      <c r="D101" s="210" t="s">
        <v>880</v>
      </c>
      <c r="E101" s="142">
        <v>100</v>
      </c>
      <c r="F101" s="143">
        <f>100%-((E101-G101)/E101)</f>
        <v>1</v>
      </c>
      <c r="G101" s="142">
        <v>100</v>
      </c>
      <c r="H101" s="144">
        <f t="shared" si="8"/>
        <v>0</v>
      </c>
      <c r="I101" s="145"/>
      <c r="J101" s="145"/>
      <c r="K101" s="145"/>
      <c r="L101" s="145"/>
      <c r="M101" s="146"/>
      <c r="N101" s="146"/>
      <c r="O101" s="147"/>
      <c r="P101" s="25"/>
    </row>
    <row r="102" spans="1:16" ht="31.5" customHeight="1" hidden="1">
      <c r="A102" s="582"/>
      <c r="B102" s="607"/>
      <c r="C102" s="167" t="s">
        <v>881</v>
      </c>
      <c r="D102" s="13" t="s">
        <v>882</v>
      </c>
      <c r="E102" s="142"/>
      <c r="F102" s="143"/>
      <c r="G102" s="142"/>
      <c r="H102" s="144">
        <f t="shared" si="8"/>
        <v>0</v>
      </c>
      <c r="I102" s="145"/>
      <c r="J102" s="145"/>
      <c r="K102" s="145"/>
      <c r="L102" s="49"/>
      <c r="M102" s="146"/>
      <c r="N102" s="146"/>
      <c r="O102" s="147"/>
      <c r="P102" s="25"/>
    </row>
    <row r="103" spans="1:16" ht="15.75">
      <c r="A103" s="582"/>
      <c r="B103" s="607"/>
      <c r="C103" s="614" t="s">
        <v>883</v>
      </c>
      <c r="D103" s="13" t="s">
        <v>1656</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82"/>
      <c r="B104" s="607"/>
      <c r="C104" s="615"/>
      <c r="D104" s="346" t="s">
        <v>1657</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82"/>
      <c r="B105" s="607"/>
      <c r="C105" s="615"/>
      <c r="D105" s="346" t="s">
        <v>1658</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82"/>
      <c r="B106" s="607"/>
      <c r="C106" s="615"/>
      <c r="D106" s="346" t="s">
        <v>1659</v>
      </c>
      <c r="E106" s="199">
        <v>150</v>
      </c>
      <c r="F106" s="200">
        <f>100%-((E106-G106)/E106)</f>
        <v>1</v>
      </c>
      <c r="G106" s="199">
        <v>150</v>
      </c>
      <c r="H106" s="201">
        <f t="shared" si="8"/>
        <v>0</v>
      </c>
      <c r="I106" s="202"/>
      <c r="J106" s="202"/>
      <c r="K106" s="202"/>
      <c r="L106" s="202"/>
      <c r="M106" s="203"/>
      <c r="N106" s="203"/>
      <c r="O106" s="203"/>
      <c r="P106" s="25"/>
    </row>
    <row r="107" spans="1:16" ht="15.75" hidden="1">
      <c r="A107" s="582"/>
      <c r="B107" s="607"/>
      <c r="C107" s="615"/>
      <c r="D107" s="346" t="s">
        <v>1660</v>
      </c>
      <c r="E107" s="199"/>
      <c r="F107" s="200"/>
      <c r="G107" s="199"/>
      <c r="H107" s="201">
        <f t="shared" si="8"/>
        <v>0</v>
      </c>
      <c r="I107" s="202"/>
      <c r="J107" s="202"/>
      <c r="K107" s="202"/>
      <c r="L107" s="202"/>
      <c r="M107" s="203"/>
      <c r="N107" s="203"/>
      <c r="O107" s="203"/>
      <c r="P107" s="25"/>
    </row>
    <row r="108" spans="1:16" ht="15.75">
      <c r="A108" s="582"/>
      <c r="B108" s="607"/>
      <c r="C108" s="615"/>
      <c r="D108" s="346" t="s">
        <v>1160</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82"/>
      <c r="B109" s="607"/>
      <c r="C109" s="615"/>
      <c r="D109" s="50" t="s">
        <v>1161</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82"/>
      <c r="B110" s="607"/>
      <c r="C110" s="615"/>
      <c r="D110" s="50" t="s">
        <v>1162</v>
      </c>
      <c r="E110" s="199">
        <v>30</v>
      </c>
      <c r="F110" s="200">
        <f>100%-((E110-G110)/E110)</f>
        <v>1</v>
      </c>
      <c r="G110" s="199">
        <v>30</v>
      </c>
      <c r="H110" s="201">
        <f t="shared" si="13"/>
        <v>0</v>
      </c>
      <c r="I110" s="202"/>
      <c r="J110" s="202"/>
      <c r="K110" s="202"/>
      <c r="L110" s="51"/>
      <c r="M110" s="203"/>
      <c r="N110" s="203"/>
      <c r="O110" s="204"/>
      <c r="P110" s="25"/>
    </row>
    <row r="111" spans="1:16" ht="15.75" customHeight="1" hidden="1">
      <c r="A111" s="582"/>
      <c r="B111" s="607"/>
      <c r="C111" s="616"/>
      <c r="D111" s="50" t="s">
        <v>1163</v>
      </c>
      <c r="E111" s="199">
        <v>30</v>
      </c>
      <c r="F111" s="200">
        <f>100%-((E111-G111)/E111)</f>
        <v>1</v>
      </c>
      <c r="G111" s="199">
        <v>30</v>
      </c>
      <c r="H111" s="201">
        <f t="shared" si="13"/>
        <v>0</v>
      </c>
      <c r="I111" s="202"/>
      <c r="J111" s="202"/>
      <c r="K111" s="202"/>
      <c r="L111" s="51"/>
      <c r="M111" s="203"/>
      <c r="N111" s="203"/>
      <c r="O111" s="204"/>
      <c r="P111" s="25"/>
    </row>
    <row r="112" spans="1:16" ht="15.75">
      <c r="A112" s="582"/>
      <c r="B112" s="607"/>
      <c r="C112" s="614" t="s">
        <v>1164</v>
      </c>
      <c r="D112" s="13" t="s">
        <v>1165</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82"/>
      <c r="B113" s="607"/>
      <c r="C113" s="615"/>
      <c r="D113" s="346" t="s">
        <v>530</v>
      </c>
      <c r="E113" s="142">
        <v>138</v>
      </c>
      <c r="F113" s="143">
        <f>100%-((E113-G113)/E113)</f>
        <v>1</v>
      </c>
      <c r="G113" s="142">
        <v>138</v>
      </c>
      <c r="H113" s="201">
        <f t="shared" si="13"/>
        <v>28113.8</v>
      </c>
      <c r="I113" s="202"/>
      <c r="J113" s="202"/>
      <c r="K113" s="202"/>
      <c r="L113" s="51">
        <v>28113.8</v>
      </c>
      <c r="M113" s="146"/>
      <c r="N113" s="146"/>
      <c r="O113" s="147"/>
      <c r="P113" s="25"/>
    </row>
    <row r="114" spans="1:16" ht="15.75">
      <c r="A114" s="582"/>
      <c r="B114" s="607"/>
      <c r="C114" s="615"/>
      <c r="D114" s="346" t="s">
        <v>1474</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82"/>
      <c r="B115" s="607"/>
      <c r="C115" s="615"/>
      <c r="D115" s="346" t="s">
        <v>1475</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82"/>
      <c r="B116" s="607"/>
      <c r="C116" s="616"/>
      <c r="D116" s="50" t="s">
        <v>1476</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82"/>
      <c r="B117" s="607"/>
      <c r="C117" s="205"/>
      <c r="D117" s="13" t="s">
        <v>1477</v>
      </c>
      <c r="E117" s="142"/>
      <c r="F117" s="143"/>
      <c r="G117" s="142"/>
      <c r="H117" s="144">
        <f t="shared" si="13"/>
        <v>0</v>
      </c>
      <c r="I117" s="145"/>
      <c r="J117" s="145"/>
      <c r="K117" s="145"/>
      <c r="L117" s="49"/>
      <c r="M117" s="146"/>
      <c r="N117" s="146"/>
      <c r="O117" s="147"/>
      <c r="P117" s="25"/>
      <c r="Q117" s="22"/>
    </row>
    <row r="118" spans="1:17" s="40" customFormat="1" ht="31.5">
      <c r="A118" s="582"/>
      <c r="B118" s="607"/>
      <c r="C118" s="167" t="s">
        <v>1478</v>
      </c>
      <c r="D118" s="13" t="s">
        <v>1775</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82"/>
      <c r="B119" s="607"/>
      <c r="C119" s="167" t="s">
        <v>1776</v>
      </c>
      <c r="D119" s="13" t="s">
        <v>897</v>
      </c>
      <c r="E119" s="142"/>
      <c r="F119" s="143"/>
      <c r="G119" s="142"/>
      <c r="H119" s="144">
        <f t="shared" si="13"/>
        <v>0</v>
      </c>
      <c r="I119" s="145"/>
      <c r="J119" s="145"/>
      <c r="K119" s="145"/>
      <c r="L119" s="49"/>
      <c r="M119" s="146"/>
      <c r="N119" s="146"/>
      <c r="O119" s="147"/>
      <c r="P119" s="25"/>
    </row>
    <row r="120" spans="1:16" ht="15.75" customHeight="1" hidden="1">
      <c r="A120" s="582"/>
      <c r="B120" s="607"/>
      <c r="C120" s="167" t="s">
        <v>898</v>
      </c>
      <c r="D120" s="13" t="s">
        <v>899</v>
      </c>
      <c r="E120" s="142"/>
      <c r="F120" s="143"/>
      <c r="G120" s="142"/>
      <c r="H120" s="144">
        <f t="shared" si="13"/>
        <v>0</v>
      </c>
      <c r="I120" s="209">
        <f>2.699-2.699</f>
        <v>0</v>
      </c>
      <c r="J120" s="145"/>
      <c r="K120" s="145"/>
      <c r="L120" s="53"/>
      <c r="M120" s="146"/>
      <c r="N120" s="146"/>
      <c r="O120" s="147"/>
      <c r="P120" s="25"/>
    </row>
    <row r="121" spans="1:16" ht="31.5" customHeight="1" hidden="1">
      <c r="A121" s="582"/>
      <c r="B121" s="607"/>
      <c r="C121" s="167"/>
      <c r="D121" s="13" t="s">
        <v>900</v>
      </c>
      <c r="E121" s="142">
        <v>230</v>
      </c>
      <c r="F121" s="143">
        <f>100%-((E121-G121)/E121)</f>
        <v>1</v>
      </c>
      <c r="G121" s="142">
        <v>230</v>
      </c>
      <c r="H121" s="144">
        <f t="shared" si="13"/>
        <v>0</v>
      </c>
      <c r="I121" s="145"/>
      <c r="J121" s="145"/>
      <c r="K121" s="145"/>
      <c r="L121" s="49"/>
      <c r="M121" s="146"/>
      <c r="N121" s="146"/>
      <c r="O121" s="147"/>
      <c r="P121" s="25"/>
    </row>
    <row r="122" spans="1:16" ht="31.5">
      <c r="A122" s="582"/>
      <c r="B122" s="607"/>
      <c r="C122" s="167"/>
      <c r="D122" s="13" t="s">
        <v>1355</v>
      </c>
      <c r="E122" s="142">
        <v>230</v>
      </c>
      <c r="F122" s="143">
        <f>100%-((E122-G122)/E122)</f>
        <v>1</v>
      </c>
      <c r="G122" s="142">
        <v>230</v>
      </c>
      <c r="H122" s="144">
        <f t="shared" si="13"/>
        <v>3639.6</v>
      </c>
      <c r="I122" s="145"/>
      <c r="J122" s="145"/>
      <c r="K122" s="145"/>
      <c r="L122" s="49">
        <v>3639.6</v>
      </c>
      <c r="M122" s="146"/>
      <c r="N122" s="146"/>
      <c r="O122" s="147"/>
      <c r="P122" s="25"/>
    </row>
    <row r="123" spans="1:16" ht="31.5" hidden="1">
      <c r="A123" s="582"/>
      <c r="B123" s="607"/>
      <c r="C123" s="167"/>
      <c r="D123" s="13" t="s">
        <v>337</v>
      </c>
      <c r="E123" s="142"/>
      <c r="F123" s="143"/>
      <c r="G123" s="142"/>
      <c r="H123" s="144">
        <f t="shared" si="13"/>
        <v>0</v>
      </c>
      <c r="I123" s="145"/>
      <c r="J123" s="145"/>
      <c r="K123" s="145"/>
      <c r="L123" s="49"/>
      <c r="M123" s="146"/>
      <c r="N123" s="146"/>
      <c r="O123" s="147"/>
      <c r="P123" s="25"/>
    </row>
    <row r="124" spans="1:16" ht="15.75" hidden="1">
      <c r="A124" s="582"/>
      <c r="B124" s="607"/>
      <c r="C124" s="167"/>
      <c r="D124" s="13" t="s">
        <v>338</v>
      </c>
      <c r="E124" s="142"/>
      <c r="F124" s="143"/>
      <c r="G124" s="142"/>
      <c r="H124" s="144">
        <f t="shared" si="13"/>
        <v>0</v>
      </c>
      <c r="I124" s="145"/>
      <c r="J124" s="145"/>
      <c r="K124" s="145"/>
      <c r="L124" s="49"/>
      <c r="M124" s="146"/>
      <c r="N124" s="146"/>
      <c r="O124" s="147"/>
      <c r="P124" s="25"/>
    </row>
    <row r="125" spans="1:16" ht="15.75" hidden="1">
      <c r="A125" s="582"/>
      <c r="B125" s="607"/>
      <c r="C125" s="167"/>
      <c r="D125" s="13" t="s">
        <v>339</v>
      </c>
      <c r="E125" s="142"/>
      <c r="F125" s="143"/>
      <c r="G125" s="142"/>
      <c r="H125" s="144">
        <f t="shared" si="13"/>
        <v>0</v>
      </c>
      <c r="I125" s="145"/>
      <c r="J125" s="145"/>
      <c r="K125" s="145"/>
      <c r="L125" s="49"/>
      <c r="M125" s="146"/>
      <c r="N125" s="146"/>
      <c r="O125" s="147"/>
      <c r="P125" s="25"/>
    </row>
    <row r="126" spans="1:16" ht="15.75" hidden="1">
      <c r="A126" s="582"/>
      <c r="B126" s="607"/>
      <c r="C126" s="167"/>
      <c r="D126" s="13" t="s">
        <v>196</v>
      </c>
      <c r="E126" s="142"/>
      <c r="F126" s="143"/>
      <c r="G126" s="142"/>
      <c r="H126" s="144">
        <f t="shared" si="13"/>
        <v>0</v>
      </c>
      <c r="I126" s="145"/>
      <c r="J126" s="145"/>
      <c r="K126" s="145"/>
      <c r="L126" s="49"/>
      <c r="M126" s="146"/>
      <c r="N126" s="146"/>
      <c r="O126" s="147"/>
      <c r="P126" s="25"/>
    </row>
    <row r="127" spans="1:16" ht="31.5" hidden="1">
      <c r="A127" s="582"/>
      <c r="B127" s="607"/>
      <c r="C127" s="167"/>
      <c r="D127" s="211" t="s">
        <v>197</v>
      </c>
      <c r="E127" s="142"/>
      <c r="F127" s="143"/>
      <c r="G127" s="142"/>
      <c r="H127" s="144">
        <f t="shared" si="13"/>
        <v>0</v>
      </c>
      <c r="I127" s="145"/>
      <c r="J127" s="145"/>
      <c r="K127" s="145"/>
      <c r="L127" s="49"/>
      <c r="M127" s="146"/>
      <c r="N127" s="146"/>
      <c r="O127" s="147"/>
      <c r="P127" s="25"/>
    </row>
    <row r="128" spans="1:16" ht="31.5" hidden="1">
      <c r="A128" s="582"/>
      <c r="B128" s="607"/>
      <c r="C128" s="167"/>
      <c r="D128" s="211" t="s">
        <v>198</v>
      </c>
      <c r="E128" s="142"/>
      <c r="F128" s="143"/>
      <c r="G128" s="142"/>
      <c r="H128" s="144">
        <f t="shared" si="13"/>
        <v>0</v>
      </c>
      <c r="I128" s="145"/>
      <c r="J128" s="145"/>
      <c r="K128" s="145"/>
      <c r="L128" s="49"/>
      <c r="M128" s="146"/>
      <c r="N128" s="146"/>
      <c r="O128" s="147"/>
      <c r="P128" s="25"/>
    </row>
    <row r="129" spans="1:16" ht="31.5" hidden="1">
      <c r="A129" s="582"/>
      <c r="B129" s="607"/>
      <c r="C129" s="167"/>
      <c r="D129" s="13" t="s">
        <v>1320</v>
      </c>
      <c r="E129" s="142"/>
      <c r="F129" s="143"/>
      <c r="G129" s="142"/>
      <c r="H129" s="144">
        <f t="shared" si="13"/>
        <v>0</v>
      </c>
      <c r="I129" s="145"/>
      <c r="J129" s="145"/>
      <c r="K129" s="145"/>
      <c r="L129" s="49"/>
      <c r="M129" s="146"/>
      <c r="N129" s="146"/>
      <c r="O129" s="147"/>
      <c r="P129" s="25"/>
    </row>
    <row r="130" spans="1:16" ht="15.75" hidden="1">
      <c r="A130" s="582"/>
      <c r="B130" s="607"/>
      <c r="C130" s="167"/>
      <c r="D130" s="141" t="s">
        <v>1990</v>
      </c>
      <c r="E130" s="142"/>
      <c r="F130" s="143"/>
      <c r="G130" s="142"/>
      <c r="H130" s="144">
        <f t="shared" si="13"/>
        <v>0</v>
      </c>
      <c r="I130" s="145"/>
      <c r="J130" s="145"/>
      <c r="K130" s="145"/>
      <c r="L130" s="49"/>
      <c r="M130" s="146"/>
      <c r="N130" s="146"/>
      <c r="O130" s="147"/>
      <c r="P130" s="25"/>
    </row>
    <row r="131" spans="1:16" ht="15.75" hidden="1">
      <c r="A131" s="582"/>
      <c r="B131" s="607"/>
      <c r="C131" s="167"/>
      <c r="D131" s="141" t="s">
        <v>1800</v>
      </c>
      <c r="E131" s="142"/>
      <c r="F131" s="143"/>
      <c r="G131" s="142"/>
      <c r="H131" s="144">
        <f t="shared" si="13"/>
        <v>0</v>
      </c>
      <c r="I131" s="145"/>
      <c r="J131" s="145"/>
      <c r="K131" s="145"/>
      <c r="L131" s="49"/>
      <c r="M131" s="146"/>
      <c r="N131" s="146"/>
      <c r="O131" s="147"/>
      <c r="P131" s="25"/>
    </row>
    <row r="132" spans="1:16" ht="15.75" hidden="1">
      <c r="A132" s="582"/>
      <c r="B132" s="607"/>
      <c r="C132" s="167"/>
      <c r="D132" s="13" t="s">
        <v>945</v>
      </c>
      <c r="E132" s="142"/>
      <c r="F132" s="143"/>
      <c r="G132" s="142"/>
      <c r="H132" s="144">
        <f t="shared" si="13"/>
        <v>0</v>
      </c>
      <c r="I132" s="145"/>
      <c r="J132" s="145"/>
      <c r="K132" s="145"/>
      <c r="L132" s="49"/>
      <c r="M132" s="146"/>
      <c r="N132" s="146"/>
      <c r="O132" s="147"/>
      <c r="P132" s="25"/>
    </row>
    <row r="133" spans="1:16" ht="15.75" hidden="1">
      <c r="A133" s="582"/>
      <c r="B133" s="607"/>
      <c r="C133" s="167"/>
      <c r="D133" s="13" t="s">
        <v>946</v>
      </c>
      <c r="E133" s="142"/>
      <c r="F133" s="143"/>
      <c r="G133" s="142"/>
      <c r="H133" s="144">
        <f t="shared" si="13"/>
        <v>0</v>
      </c>
      <c r="I133" s="145"/>
      <c r="J133" s="145"/>
      <c r="K133" s="145"/>
      <c r="L133" s="49"/>
      <c r="M133" s="146"/>
      <c r="N133" s="146"/>
      <c r="O133" s="147"/>
      <c r="P133" s="25"/>
    </row>
    <row r="134" spans="1:16" ht="15.75" hidden="1">
      <c r="A134" s="582"/>
      <c r="B134" s="607"/>
      <c r="C134" s="167"/>
      <c r="D134" s="13" t="s">
        <v>947</v>
      </c>
      <c r="E134" s="142"/>
      <c r="F134" s="143"/>
      <c r="G134" s="142"/>
      <c r="H134" s="144">
        <f t="shared" si="13"/>
        <v>0</v>
      </c>
      <c r="I134" s="145"/>
      <c r="J134" s="145"/>
      <c r="K134" s="145"/>
      <c r="L134" s="49"/>
      <c r="M134" s="146"/>
      <c r="N134" s="146"/>
      <c r="O134" s="147"/>
      <c r="P134" s="25"/>
    </row>
    <row r="135" spans="1:16" ht="15.75" hidden="1">
      <c r="A135" s="582"/>
      <c r="B135" s="607"/>
      <c r="C135" s="167"/>
      <c r="D135" s="13" t="s">
        <v>604</v>
      </c>
      <c r="E135" s="142"/>
      <c r="F135" s="143"/>
      <c r="G135" s="142"/>
      <c r="H135" s="144">
        <f t="shared" si="13"/>
        <v>0</v>
      </c>
      <c r="I135" s="145"/>
      <c r="J135" s="145"/>
      <c r="K135" s="145"/>
      <c r="L135" s="49"/>
      <c r="M135" s="146"/>
      <c r="N135" s="146"/>
      <c r="O135" s="147"/>
      <c r="P135" s="25"/>
    </row>
    <row r="136" spans="1:16" ht="15.75" hidden="1">
      <c r="A136" s="582"/>
      <c r="B136" s="607"/>
      <c r="C136" s="167"/>
      <c r="D136" s="13" t="s">
        <v>1737</v>
      </c>
      <c r="E136" s="142"/>
      <c r="F136" s="143"/>
      <c r="G136" s="142"/>
      <c r="H136" s="144">
        <f t="shared" si="13"/>
        <v>0</v>
      </c>
      <c r="I136" s="145"/>
      <c r="J136" s="145"/>
      <c r="K136" s="145"/>
      <c r="L136" s="49"/>
      <c r="M136" s="146"/>
      <c r="N136" s="146"/>
      <c r="O136" s="147"/>
      <c r="P136" s="25"/>
    </row>
    <row r="137" spans="1:16" ht="15.75" hidden="1">
      <c r="A137" s="582"/>
      <c r="B137" s="607"/>
      <c r="C137" s="167"/>
      <c r="D137" s="13" t="s">
        <v>1597</v>
      </c>
      <c r="E137" s="142"/>
      <c r="F137" s="143"/>
      <c r="G137" s="142"/>
      <c r="H137" s="144">
        <f t="shared" si="13"/>
        <v>0</v>
      </c>
      <c r="I137" s="145"/>
      <c r="J137" s="145"/>
      <c r="K137" s="145"/>
      <c r="L137" s="49"/>
      <c r="M137" s="146"/>
      <c r="N137" s="146"/>
      <c r="O137" s="147"/>
      <c r="P137" s="25"/>
    </row>
    <row r="138" spans="1:16" ht="15.75" hidden="1">
      <c r="A138" s="582"/>
      <c r="B138" s="607"/>
      <c r="C138" s="167"/>
      <c r="D138" s="13" t="s">
        <v>233</v>
      </c>
      <c r="E138" s="142"/>
      <c r="F138" s="143"/>
      <c r="G138" s="142"/>
      <c r="H138" s="144">
        <f t="shared" si="13"/>
        <v>0</v>
      </c>
      <c r="I138" s="145"/>
      <c r="J138" s="145"/>
      <c r="K138" s="145"/>
      <c r="L138" s="49"/>
      <c r="M138" s="146"/>
      <c r="N138" s="146"/>
      <c r="O138" s="147"/>
      <c r="P138" s="25"/>
    </row>
    <row r="139" spans="1:16" ht="31.5" hidden="1">
      <c r="A139" s="582"/>
      <c r="B139" s="607"/>
      <c r="C139" s="167"/>
      <c r="D139" s="13" t="s">
        <v>637</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81" t="s">
        <v>105</v>
      </c>
      <c r="B147" s="605" t="s">
        <v>234</v>
      </c>
      <c r="C147" s="195"/>
      <c r="D147" s="136" t="s">
        <v>235</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82"/>
      <c r="B148" s="607"/>
      <c r="C148" s="212" t="s">
        <v>1153</v>
      </c>
      <c r="D148" s="141" t="s">
        <v>236</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82"/>
      <c r="B149" s="607"/>
      <c r="C149" s="212" t="s">
        <v>1151</v>
      </c>
      <c r="D149" s="141" t="s">
        <v>152</v>
      </c>
      <c r="E149" s="142"/>
      <c r="F149" s="143"/>
      <c r="G149" s="142"/>
      <c r="H149" s="144">
        <f t="shared" si="15"/>
        <v>0</v>
      </c>
      <c r="I149" s="145"/>
      <c r="J149" s="145"/>
      <c r="K149" s="145"/>
      <c r="L149" s="145"/>
      <c r="M149" s="146"/>
      <c r="N149" s="146"/>
      <c r="O149" s="147"/>
      <c r="P149" s="25"/>
      <c r="Q149" s="22"/>
    </row>
    <row r="150" spans="1:17" s="45" customFormat="1" ht="15.75">
      <c r="A150" s="582"/>
      <c r="B150" s="607"/>
      <c r="C150" s="617" t="s">
        <v>1164</v>
      </c>
      <c r="D150" s="141" t="s">
        <v>237</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82"/>
      <c r="B151" s="607"/>
      <c r="C151" s="618"/>
      <c r="D151" s="347" t="s">
        <v>238</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82"/>
      <c r="B152" s="607"/>
      <c r="C152" s="618"/>
      <c r="D152" s="347" t="s">
        <v>1051</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82"/>
      <c r="B153" s="607"/>
      <c r="C153" s="618"/>
      <c r="D153" s="347" t="s">
        <v>1052</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82"/>
      <c r="B154" s="607"/>
      <c r="C154" s="618"/>
      <c r="D154" s="347" t="s">
        <v>1053</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82"/>
      <c r="B155" s="607"/>
      <c r="C155" s="618"/>
      <c r="D155" s="347" t="s">
        <v>1054</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82"/>
      <c r="B156" s="607"/>
      <c r="C156" s="618"/>
      <c r="D156" s="198" t="s">
        <v>1055</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82"/>
      <c r="B157" s="607"/>
      <c r="C157" s="618"/>
      <c r="D157" s="198" t="s">
        <v>1056</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82"/>
      <c r="B158" s="607"/>
      <c r="C158" s="619"/>
      <c r="D158" s="198" t="s">
        <v>1057</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82"/>
      <c r="B159" s="607"/>
      <c r="C159" s="617" t="s">
        <v>1058</v>
      </c>
      <c r="D159" s="141" t="s">
        <v>1059</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82"/>
      <c r="B160" s="607"/>
      <c r="C160" s="618"/>
      <c r="D160" s="198" t="s">
        <v>1060</v>
      </c>
      <c r="E160" s="199"/>
      <c r="F160" s="143"/>
      <c r="G160" s="199"/>
      <c r="H160" s="201">
        <f t="shared" si="15"/>
        <v>0</v>
      </c>
      <c r="I160" s="202"/>
      <c r="J160" s="202"/>
      <c r="K160" s="202"/>
      <c r="L160" s="202"/>
      <c r="M160" s="203"/>
      <c r="N160" s="203"/>
      <c r="O160" s="204"/>
      <c r="P160" s="25"/>
      <c r="Q160" s="22"/>
    </row>
    <row r="161" spans="1:16" ht="15.75" customHeight="1" hidden="1">
      <c r="A161" s="582"/>
      <c r="B161" s="607"/>
      <c r="C161" s="618"/>
      <c r="D161" s="198" t="s">
        <v>1061</v>
      </c>
      <c r="E161" s="199"/>
      <c r="F161" s="143"/>
      <c r="G161" s="199"/>
      <c r="H161" s="201">
        <f t="shared" si="15"/>
        <v>0</v>
      </c>
      <c r="I161" s="202"/>
      <c r="J161" s="202"/>
      <c r="K161" s="202"/>
      <c r="L161" s="202"/>
      <c r="M161" s="203"/>
      <c r="N161" s="203"/>
      <c r="O161" s="204"/>
      <c r="P161" s="25"/>
    </row>
    <row r="162" spans="1:16" ht="15.75" customHeight="1" hidden="1">
      <c r="A162" s="582"/>
      <c r="B162" s="607"/>
      <c r="C162" s="618"/>
      <c r="D162" s="198" t="s">
        <v>1062</v>
      </c>
      <c r="E162" s="199"/>
      <c r="F162" s="143"/>
      <c r="G162" s="199"/>
      <c r="H162" s="201">
        <f t="shared" si="15"/>
        <v>0</v>
      </c>
      <c r="I162" s="202"/>
      <c r="J162" s="202"/>
      <c r="K162" s="202"/>
      <c r="L162" s="202"/>
      <c r="M162" s="203"/>
      <c r="N162" s="203"/>
      <c r="O162" s="204"/>
      <c r="P162" s="25"/>
    </row>
    <row r="163" spans="1:16" ht="15.75" customHeight="1" hidden="1">
      <c r="A163" s="582"/>
      <c r="B163" s="607"/>
      <c r="C163" s="619"/>
      <c r="D163" s="198" t="s">
        <v>1063</v>
      </c>
      <c r="E163" s="199"/>
      <c r="F163" s="143"/>
      <c r="G163" s="199"/>
      <c r="H163" s="201">
        <f t="shared" si="15"/>
        <v>0</v>
      </c>
      <c r="I163" s="202"/>
      <c r="J163" s="202"/>
      <c r="K163" s="202"/>
      <c r="L163" s="202"/>
      <c r="M163" s="203"/>
      <c r="N163" s="203"/>
      <c r="O163" s="204"/>
      <c r="P163" s="25"/>
    </row>
    <row r="164" spans="1:16" ht="47.25" customHeight="1" hidden="1">
      <c r="A164" s="582"/>
      <c r="B164" s="607"/>
      <c r="C164" s="212" t="s">
        <v>1462</v>
      </c>
      <c r="D164" s="208" t="s">
        <v>80</v>
      </c>
      <c r="E164" s="142"/>
      <c r="F164" s="143"/>
      <c r="G164" s="142"/>
      <c r="H164" s="144">
        <f t="shared" si="15"/>
        <v>0</v>
      </c>
      <c r="I164" s="145"/>
      <c r="J164" s="145"/>
      <c r="K164" s="145"/>
      <c r="L164" s="145"/>
      <c r="M164" s="146"/>
      <c r="N164" s="146"/>
      <c r="O164" s="147"/>
      <c r="P164" s="25"/>
    </row>
    <row r="165" spans="1:16" ht="49.5" customHeight="1">
      <c r="A165" s="582"/>
      <c r="B165" s="607"/>
      <c r="C165" s="212" t="s">
        <v>81</v>
      </c>
      <c r="D165" s="208" t="s">
        <v>82</v>
      </c>
      <c r="E165" s="142">
        <v>360</v>
      </c>
      <c r="F165" s="143">
        <f>100%-((E165-G165)/E165)</f>
        <v>1</v>
      </c>
      <c r="G165" s="142">
        <v>360</v>
      </c>
      <c r="H165" s="144">
        <f t="shared" si="15"/>
        <v>83941.86</v>
      </c>
      <c r="I165" s="145"/>
      <c r="J165" s="145"/>
      <c r="K165" s="145"/>
      <c r="L165" s="145">
        <v>83941.86</v>
      </c>
      <c r="M165" s="146"/>
      <c r="N165" s="146"/>
      <c r="O165" s="147"/>
      <c r="P165" s="25"/>
    </row>
    <row r="166" spans="1:16" ht="47.25">
      <c r="A166" s="582"/>
      <c r="B166" s="607"/>
      <c r="C166" s="212" t="s">
        <v>83</v>
      </c>
      <c r="D166" s="208" t="s">
        <v>84</v>
      </c>
      <c r="E166" s="142"/>
      <c r="F166" s="143"/>
      <c r="G166" s="142"/>
      <c r="H166" s="144">
        <f t="shared" si="15"/>
        <v>43975.12</v>
      </c>
      <c r="I166" s="145"/>
      <c r="J166" s="145"/>
      <c r="K166" s="145"/>
      <c r="L166" s="145">
        <v>43975.12</v>
      </c>
      <c r="M166" s="146"/>
      <c r="N166" s="146"/>
      <c r="O166" s="147"/>
      <c r="P166" s="25"/>
    </row>
    <row r="167" spans="1:16" ht="15.75">
      <c r="A167" s="582"/>
      <c r="B167" s="607"/>
      <c r="C167" s="617" t="s">
        <v>85</v>
      </c>
      <c r="D167" s="208" t="s">
        <v>86</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82"/>
      <c r="B168" s="607"/>
      <c r="C168" s="618"/>
      <c r="D168" s="348" t="s">
        <v>87</v>
      </c>
      <c r="E168" s="199"/>
      <c r="F168" s="143"/>
      <c r="G168" s="199"/>
      <c r="H168" s="201">
        <f t="shared" si="15"/>
        <v>30000</v>
      </c>
      <c r="I168" s="202"/>
      <c r="J168" s="202"/>
      <c r="K168" s="202"/>
      <c r="L168" s="202">
        <v>30000</v>
      </c>
      <c r="M168" s="203"/>
      <c r="N168" s="203"/>
      <c r="O168" s="204"/>
      <c r="P168" s="25"/>
    </row>
    <row r="169" spans="1:16" ht="15.75">
      <c r="A169" s="582"/>
      <c r="B169" s="607"/>
      <c r="C169" s="618"/>
      <c r="D169" s="348" t="s">
        <v>88</v>
      </c>
      <c r="E169" s="199"/>
      <c r="F169" s="143"/>
      <c r="G169" s="199"/>
      <c r="H169" s="201">
        <f t="shared" si="15"/>
        <v>30000</v>
      </c>
      <c r="I169" s="202"/>
      <c r="J169" s="202"/>
      <c r="K169" s="202"/>
      <c r="L169" s="202">
        <v>30000</v>
      </c>
      <c r="M169" s="203"/>
      <c r="N169" s="203"/>
      <c r="O169" s="204"/>
      <c r="P169" s="25"/>
    </row>
    <row r="170" spans="1:16" ht="16.5" customHeight="1">
      <c r="A170" s="582"/>
      <c r="B170" s="607"/>
      <c r="C170" s="619"/>
      <c r="D170" s="348" t="s">
        <v>89</v>
      </c>
      <c r="E170" s="199"/>
      <c r="F170" s="143"/>
      <c r="G170" s="199"/>
      <c r="H170" s="201">
        <f t="shared" si="15"/>
        <v>29990</v>
      </c>
      <c r="I170" s="202"/>
      <c r="J170" s="202"/>
      <c r="K170" s="202"/>
      <c r="L170" s="202">
        <v>29990</v>
      </c>
      <c r="M170" s="203"/>
      <c r="N170" s="203"/>
      <c r="O170" s="204"/>
      <c r="P170" s="25"/>
    </row>
    <row r="171" spans="1:17" s="40" customFormat="1" ht="47.25">
      <c r="A171" s="582"/>
      <c r="B171" s="607"/>
      <c r="C171" s="212" t="s">
        <v>90</v>
      </c>
      <c r="D171" s="208" t="s">
        <v>185</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82"/>
      <c r="B172" s="607"/>
      <c r="C172" s="212" t="s">
        <v>186</v>
      </c>
      <c r="D172" s="208" t="s">
        <v>1598</v>
      </c>
      <c r="E172" s="142">
        <v>40</v>
      </c>
      <c r="F172" s="143">
        <f>100%-((E172-G172)/E172)</f>
        <v>1</v>
      </c>
      <c r="G172" s="142">
        <v>40</v>
      </c>
      <c r="H172" s="144">
        <f t="shared" si="15"/>
        <v>0</v>
      </c>
      <c r="I172" s="145"/>
      <c r="J172" s="145"/>
      <c r="K172" s="145"/>
      <c r="L172" s="145"/>
      <c r="M172" s="146"/>
      <c r="N172" s="146"/>
      <c r="O172" s="147"/>
      <c r="P172" s="25"/>
      <c r="Q172" s="22"/>
    </row>
    <row r="173" spans="1:16" ht="31.5">
      <c r="A173" s="582"/>
      <c r="B173" s="607"/>
      <c r="C173" s="212" t="s">
        <v>1599</v>
      </c>
      <c r="D173" s="208" t="s">
        <v>135</v>
      </c>
      <c r="E173" s="142"/>
      <c r="F173" s="143"/>
      <c r="G173" s="142"/>
      <c r="H173" s="144">
        <f t="shared" si="15"/>
        <v>6200</v>
      </c>
      <c r="I173" s="145"/>
      <c r="J173" s="145"/>
      <c r="K173" s="145"/>
      <c r="L173" s="145">
        <v>6200</v>
      </c>
      <c r="M173" s="146"/>
      <c r="N173" s="146"/>
      <c r="O173" s="147"/>
      <c r="P173" s="25"/>
    </row>
    <row r="174" spans="1:16" ht="31.5" customHeight="1" hidden="1">
      <c r="A174" s="582"/>
      <c r="B174" s="607"/>
      <c r="C174" s="212" t="s">
        <v>1038</v>
      </c>
      <c r="D174" s="208" t="s">
        <v>948</v>
      </c>
      <c r="E174" s="142"/>
      <c r="F174" s="143"/>
      <c r="G174" s="142"/>
      <c r="H174" s="144">
        <f t="shared" si="15"/>
        <v>0</v>
      </c>
      <c r="I174" s="145"/>
      <c r="J174" s="145"/>
      <c r="K174" s="145"/>
      <c r="L174" s="145"/>
      <c r="M174" s="146"/>
      <c r="N174" s="146"/>
      <c r="O174" s="147"/>
      <c r="P174" s="25"/>
    </row>
    <row r="175" spans="1:16" ht="47.25" customHeight="1" hidden="1">
      <c r="A175" s="582"/>
      <c r="B175" s="607"/>
      <c r="C175" s="212" t="s">
        <v>949</v>
      </c>
      <c r="D175" s="208" t="s">
        <v>242</v>
      </c>
      <c r="E175" s="142"/>
      <c r="F175" s="143"/>
      <c r="G175" s="142"/>
      <c r="H175" s="144">
        <f t="shared" si="15"/>
        <v>0</v>
      </c>
      <c r="I175" s="145"/>
      <c r="J175" s="145"/>
      <c r="K175" s="145"/>
      <c r="L175" s="145"/>
      <c r="M175" s="146"/>
      <c r="N175" s="146"/>
      <c r="O175" s="147"/>
      <c r="P175" s="25"/>
    </row>
    <row r="176" spans="1:16" ht="15.75" customHeight="1" hidden="1">
      <c r="A176" s="582"/>
      <c r="B176" s="607"/>
      <c r="C176" s="617" t="s">
        <v>243</v>
      </c>
      <c r="D176" s="208" t="s">
        <v>1115</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82"/>
      <c r="B177" s="607"/>
      <c r="C177" s="618"/>
      <c r="D177" s="213" t="s">
        <v>1116</v>
      </c>
      <c r="E177" s="199"/>
      <c r="F177" s="143"/>
      <c r="G177" s="199"/>
      <c r="H177" s="201">
        <f t="shared" si="20"/>
        <v>0</v>
      </c>
      <c r="I177" s="202"/>
      <c r="J177" s="202"/>
      <c r="K177" s="202"/>
      <c r="L177" s="202"/>
      <c r="M177" s="203"/>
      <c r="N177" s="203"/>
      <c r="O177" s="204"/>
      <c r="P177" s="25"/>
    </row>
    <row r="178" spans="1:16" ht="15.75" customHeight="1" hidden="1">
      <c r="A178" s="582"/>
      <c r="B178" s="607"/>
      <c r="C178" s="619"/>
      <c r="D178" s="213" t="s">
        <v>1117</v>
      </c>
      <c r="E178" s="199"/>
      <c r="F178" s="143"/>
      <c r="G178" s="199"/>
      <c r="H178" s="201">
        <f t="shared" si="20"/>
        <v>0</v>
      </c>
      <c r="I178" s="202"/>
      <c r="J178" s="202"/>
      <c r="K178" s="202"/>
      <c r="L178" s="202"/>
      <c r="M178" s="203"/>
      <c r="N178" s="203"/>
      <c r="O178" s="204"/>
      <c r="P178" s="25"/>
    </row>
    <row r="179" spans="1:16" ht="31.5">
      <c r="A179" s="582"/>
      <c r="B179" s="607"/>
      <c r="C179" s="212" t="s">
        <v>1600</v>
      </c>
      <c r="D179" s="208" t="s">
        <v>1739</v>
      </c>
      <c r="E179" s="142"/>
      <c r="F179" s="143"/>
      <c r="G179" s="142"/>
      <c r="H179" s="144">
        <f t="shared" si="20"/>
        <v>4920</v>
      </c>
      <c r="I179" s="145"/>
      <c r="J179" s="145"/>
      <c r="K179" s="145"/>
      <c r="L179" s="145">
        <v>4920</v>
      </c>
      <c r="M179" s="146"/>
      <c r="N179" s="146"/>
      <c r="O179" s="147"/>
      <c r="P179" s="25"/>
    </row>
    <row r="180" spans="1:16" ht="31.5" customHeight="1" hidden="1">
      <c r="A180" s="582"/>
      <c r="B180" s="607"/>
      <c r="C180" s="212" t="s">
        <v>1740</v>
      </c>
      <c r="D180" s="208" t="s">
        <v>281</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82"/>
      <c r="B181" s="607"/>
      <c r="C181" s="212" t="s">
        <v>282</v>
      </c>
      <c r="D181" s="208" t="s">
        <v>692</v>
      </c>
      <c r="E181" s="142">
        <v>100</v>
      </c>
      <c r="F181" s="143">
        <f t="shared" si="22"/>
        <v>1</v>
      </c>
      <c r="G181" s="142">
        <v>100</v>
      </c>
      <c r="H181" s="144">
        <f t="shared" si="20"/>
        <v>21197.5</v>
      </c>
      <c r="I181" s="145"/>
      <c r="J181" s="145"/>
      <c r="K181" s="145"/>
      <c r="L181" s="145">
        <v>21197.5</v>
      </c>
      <c r="M181" s="146"/>
      <c r="N181" s="146"/>
      <c r="O181" s="147"/>
      <c r="P181" s="25"/>
    </row>
    <row r="182" spans="1:16" ht="31.5">
      <c r="A182" s="582"/>
      <c r="B182" s="607"/>
      <c r="C182" s="212" t="s">
        <v>693</v>
      </c>
      <c r="D182" s="208" t="s">
        <v>2069</v>
      </c>
      <c r="E182" s="142">
        <v>140</v>
      </c>
      <c r="F182" s="143">
        <f t="shared" si="22"/>
        <v>1</v>
      </c>
      <c r="G182" s="142">
        <v>140</v>
      </c>
      <c r="H182" s="144">
        <f t="shared" si="20"/>
        <v>7403.78</v>
      </c>
      <c r="I182" s="145"/>
      <c r="J182" s="145"/>
      <c r="K182" s="145"/>
      <c r="L182" s="145">
        <v>7403.78</v>
      </c>
      <c r="M182" s="146"/>
      <c r="N182" s="146"/>
      <c r="O182" s="147"/>
      <c r="P182" s="25"/>
    </row>
    <row r="183" spans="1:16" ht="31.5">
      <c r="A183" s="582"/>
      <c r="B183" s="607"/>
      <c r="C183" s="212" t="s">
        <v>2070</v>
      </c>
      <c r="D183" s="141" t="s">
        <v>2071</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82"/>
      <c r="B184" s="607"/>
      <c r="C184" s="212" t="s">
        <v>2072</v>
      </c>
      <c r="D184" s="141" t="s">
        <v>331</v>
      </c>
      <c r="E184" s="142">
        <v>450</v>
      </c>
      <c r="F184" s="143">
        <f t="shared" si="22"/>
        <v>1</v>
      </c>
      <c r="G184" s="142">
        <v>450</v>
      </c>
      <c r="H184" s="144">
        <f t="shared" si="20"/>
        <v>0</v>
      </c>
      <c r="I184" s="145"/>
      <c r="J184" s="145"/>
      <c r="K184" s="145"/>
      <c r="L184" s="145"/>
      <c r="M184" s="146"/>
      <c r="N184" s="146"/>
      <c r="O184" s="147"/>
      <c r="P184" s="25"/>
    </row>
    <row r="185" spans="1:16" ht="47.25">
      <c r="A185" s="582"/>
      <c r="B185" s="607"/>
      <c r="C185" s="212" t="s">
        <v>136</v>
      </c>
      <c r="D185" s="141" t="s">
        <v>137</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82"/>
      <c r="B186" s="607"/>
      <c r="C186" s="212" t="s">
        <v>118</v>
      </c>
      <c r="D186" s="141" t="s">
        <v>2000</v>
      </c>
      <c r="E186" s="142"/>
      <c r="F186" s="143"/>
      <c r="G186" s="142"/>
      <c r="H186" s="144">
        <f t="shared" si="20"/>
        <v>0</v>
      </c>
      <c r="I186" s="145"/>
      <c r="J186" s="145"/>
      <c r="K186" s="145"/>
      <c r="L186" s="145"/>
      <c r="M186" s="146"/>
      <c r="N186" s="146"/>
      <c r="O186" s="147"/>
      <c r="P186" s="25"/>
    </row>
    <row r="187" spans="1:16" ht="15.75">
      <c r="A187" s="582"/>
      <c r="B187" s="607"/>
      <c r="C187" s="617" t="s">
        <v>883</v>
      </c>
      <c r="D187" s="141" t="s">
        <v>2001</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82"/>
      <c r="B188" s="607"/>
      <c r="C188" s="618"/>
      <c r="D188" s="347" t="s">
        <v>2002</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82"/>
      <c r="B189" s="607"/>
      <c r="C189" s="618"/>
      <c r="D189" s="347" t="s">
        <v>2003</v>
      </c>
      <c r="E189" s="199">
        <v>744.44</v>
      </c>
      <c r="F189" s="143">
        <f t="shared" si="24"/>
        <v>1</v>
      </c>
      <c r="G189" s="199">
        <v>744.44</v>
      </c>
      <c r="H189" s="201">
        <f t="shared" si="20"/>
        <v>0</v>
      </c>
      <c r="I189" s="202"/>
      <c r="J189" s="202"/>
      <c r="K189" s="202"/>
      <c r="L189" s="202"/>
      <c r="M189" s="203"/>
      <c r="N189" s="203"/>
      <c r="O189" s="204"/>
      <c r="P189" s="25"/>
    </row>
    <row r="190" spans="1:16" ht="15.75">
      <c r="A190" s="582"/>
      <c r="B190" s="607"/>
      <c r="C190" s="618"/>
      <c r="D190" s="347" t="s">
        <v>2004</v>
      </c>
      <c r="E190" s="199">
        <v>154</v>
      </c>
      <c r="F190" s="143">
        <f t="shared" si="24"/>
        <v>0.445</v>
      </c>
      <c r="G190" s="199">
        <v>68.589</v>
      </c>
      <c r="H190" s="201">
        <f t="shared" si="20"/>
        <v>81540.9</v>
      </c>
      <c r="I190" s="202"/>
      <c r="J190" s="202"/>
      <c r="K190" s="202"/>
      <c r="L190" s="202">
        <v>81540.9</v>
      </c>
      <c r="M190" s="203"/>
      <c r="N190" s="203"/>
      <c r="O190" s="204"/>
      <c r="P190" s="25"/>
    </row>
    <row r="191" spans="1:16" ht="15.75">
      <c r="A191" s="582"/>
      <c r="B191" s="607"/>
      <c r="C191" s="619"/>
      <c r="D191" s="347" t="s">
        <v>2005</v>
      </c>
      <c r="E191" s="199">
        <v>231</v>
      </c>
      <c r="F191" s="143">
        <f t="shared" si="24"/>
        <v>1</v>
      </c>
      <c r="G191" s="199">
        <v>231</v>
      </c>
      <c r="H191" s="201">
        <f t="shared" si="20"/>
        <v>50786</v>
      </c>
      <c r="I191" s="202"/>
      <c r="J191" s="202"/>
      <c r="K191" s="202"/>
      <c r="L191" s="202">
        <v>50786</v>
      </c>
      <c r="M191" s="203"/>
      <c r="N191" s="203"/>
      <c r="O191" s="204"/>
      <c r="P191" s="25"/>
    </row>
    <row r="192" spans="1:16" ht="31.5">
      <c r="A192" s="582"/>
      <c r="B192" s="607"/>
      <c r="C192" s="212" t="s">
        <v>2006</v>
      </c>
      <c r="D192" s="141" t="s">
        <v>2007</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82"/>
      <c r="B193" s="607"/>
      <c r="C193" s="212" t="s">
        <v>2008</v>
      </c>
      <c r="D193" s="141" t="s">
        <v>2009</v>
      </c>
      <c r="E193" s="142">
        <v>85</v>
      </c>
      <c r="F193" s="143">
        <f t="shared" si="24"/>
        <v>1</v>
      </c>
      <c r="G193" s="142">
        <v>85</v>
      </c>
      <c r="H193" s="144">
        <f t="shared" si="20"/>
        <v>0</v>
      </c>
      <c r="I193" s="145"/>
      <c r="J193" s="145"/>
      <c r="K193" s="145"/>
      <c r="L193" s="145"/>
      <c r="M193" s="146"/>
      <c r="N193" s="146"/>
      <c r="O193" s="147"/>
      <c r="P193" s="25"/>
    </row>
    <row r="194" spans="1:16" ht="33.75" customHeight="1">
      <c r="A194" s="582"/>
      <c r="B194" s="607"/>
      <c r="C194" s="212" t="s">
        <v>2010</v>
      </c>
      <c r="D194" s="141" t="s">
        <v>77</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82"/>
      <c r="B195" s="607"/>
      <c r="C195" s="212" t="s">
        <v>78</v>
      </c>
      <c r="D195" s="141" t="s">
        <v>1338</v>
      </c>
      <c r="E195" s="142">
        <v>1000.372</v>
      </c>
      <c r="F195" s="143">
        <f t="shared" si="24"/>
        <v>1</v>
      </c>
      <c r="G195" s="142">
        <v>1000.72</v>
      </c>
      <c r="H195" s="144">
        <f t="shared" si="20"/>
        <v>1863.75</v>
      </c>
      <c r="I195" s="145"/>
      <c r="J195" s="145"/>
      <c r="K195" s="145"/>
      <c r="L195" s="145">
        <v>1863.75</v>
      </c>
      <c r="M195" s="146"/>
      <c r="N195" s="146"/>
      <c r="O195" s="147"/>
      <c r="P195" s="25"/>
    </row>
    <row r="196" spans="1:16" ht="31.5">
      <c r="A196" s="582"/>
      <c r="B196" s="607"/>
      <c r="C196" s="212" t="s">
        <v>1339</v>
      </c>
      <c r="D196" s="141" t="s">
        <v>1340</v>
      </c>
      <c r="E196" s="142"/>
      <c r="F196" s="143"/>
      <c r="G196" s="142"/>
      <c r="H196" s="144">
        <f t="shared" si="20"/>
        <v>3553</v>
      </c>
      <c r="I196" s="145">
        <f>3.553-3.553</f>
        <v>0</v>
      </c>
      <c r="J196" s="145"/>
      <c r="K196" s="145"/>
      <c r="L196" s="145">
        <v>3553</v>
      </c>
      <c r="M196" s="146"/>
      <c r="N196" s="146"/>
      <c r="O196" s="147"/>
      <c r="P196" s="25"/>
    </row>
    <row r="197" spans="1:16" ht="31.5" customHeight="1" hidden="1">
      <c r="A197" s="582"/>
      <c r="B197" s="607"/>
      <c r="C197" s="212" t="s">
        <v>1341</v>
      </c>
      <c r="D197" s="141" t="s">
        <v>1616</v>
      </c>
      <c r="E197" s="142"/>
      <c r="F197" s="143"/>
      <c r="G197" s="142"/>
      <c r="H197" s="144">
        <f t="shared" si="20"/>
        <v>0</v>
      </c>
      <c r="I197" s="145">
        <f>1.175-1.175</f>
        <v>0</v>
      </c>
      <c r="J197" s="145"/>
      <c r="K197" s="145"/>
      <c r="L197" s="145"/>
      <c r="M197" s="146"/>
      <c r="N197" s="146"/>
      <c r="O197" s="147"/>
      <c r="P197" s="25"/>
    </row>
    <row r="198" spans="1:16" ht="15.75" customHeight="1" hidden="1">
      <c r="A198" s="582"/>
      <c r="B198" s="607"/>
      <c r="C198" s="212" t="s">
        <v>1617</v>
      </c>
      <c r="D198" s="141" t="s">
        <v>1618</v>
      </c>
      <c r="E198" s="142"/>
      <c r="F198" s="143"/>
      <c r="G198" s="142"/>
      <c r="H198" s="144">
        <f t="shared" si="20"/>
        <v>0</v>
      </c>
      <c r="I198" s="145">
        <f>5.45-5.45</f>
        <v>0</v>
      </c>
      <c r="J198" s="145"/>
      <c r="K198" s="145"/>
      <c r="L198" s="145"/>
      <c r="M198" s="146"/>
      <c r="N198" s="146"/>
      <c r="O198" s="147"/>
      <c r="P198" s="25"/>
    </row>
    <row r="199" spans="1:16" ht="15.75" customHeight="1" hidden="1">
      <c r="A199" s="582"/>
      <c r="B199" s="607"/>
      <c r="C199" s="212" t="s">
        <v>1619</v>
      </c>
      <c r="D199" s="141" t="s">
        <v>1620</v>
      </c>
      <c r="E199" s="142"/>
      <c r="F199" s="143"/>
      <c r="G199" s="142"/>
      <c r="H199" s="144">
        <f t="shared" si="20"/>
        <v>0</v>
      </c>
      <c r="I199" s="145">
        <f>4.999-4.999</f>
        <v>0</v>
      </c>
      <c r="J199" s="145"/>
      <c r="K199" s="145"/>
      <c r="L199" s="145"/>
      <c r="M199" s="146"/>
      <c r="N199" s="146"/>
      <c r="O199" s="147"/>
      <c r="P199" s="25"/>
    </row>
    <row r="200" spans="1:16" ht="15.75" customHeight="1" hidden="1">
      <c r="A200" s="582"/>
      <c r="B200" s="607"/>
      <c r="C200" s="212" t="s">
        <v>1621</v>
      </c>
      <c r="D200" s="141" t="s">
        <v>1622</v>
      </c>
      <c r="E200" s="142"/>
      <c r="F200" s="143"/>
      <c r="G200" s="142"/>
      <c r="H200" s="144">
        <f t="shared" si="20"/>
        <v>0</v>
      </c>
      <c r="I200" s="145">
        <f>4.81913-4.81913</f>
        <v>0</v>
      </c>
      <c r="J200" s="145"/>
      <c r="K200" s="145"/>
      <c r="L200" s="145"/>
      <c r="M200" s="146"/>
      <c r="N200" s="146"/>
      <c r="O200" s="147"/>
      <c r="P200" s="25"/>
    </row>
    <row r="201" spans="1:16" ht="15.75" customHeight="1" hidden="1">
      <c r="A201" s="582"/>
      <c r="B201" s="607"/>
      <c r="C201" s="212"/>
      <c r="D201" s="141" t="s">
        <v>1173</v>
      </c>
      <c r="E201" s="142"/>
      <c r="F201" s="143"/>
      <c r="G201" s="142"/>
      <c r="H201" s="144">
        <f t="shared" si="20"/>
        <v>0</v>
      </c>
      <c r="I201" s="145">
        <f>2.982-2.982</f>
        <v>0</v>
      </c>
      <c r="J201" s="145"/>
      <c r="K201" s="145"/>
      <c r="L201" s="145"/>
      <c r="M201" s="146"/>
      <c r="N201" s="146"/>
      <c r="O201" s="147"/>
      <c r="P201" s="25"/>
    </row>
    <row r="202" spans="1:16" ht="15.75" customHeight="1" hidden="1">
      <c r="A202" s="582"/>
      <c r="B202" s="607"/>
      <c r="C202" s="212" t="s">
        <v>1174</v>
      </c>
      <c r="D202" s="141" t="s">
        <v>1175</v>
      </c>
      <c r="E202" s="142"/>
      <c r="F202" s="143"/>
      <c r="G202" s="142"/>
      <c r="H202" s="144">
        <f t="shared" si="20"/>
        <v>0</v>
      </c>
      <c r="I202" s="145">
        <f>4-4</f>
        <v>0</v>
      </c>
      <c r="J202" s="145"/>
      <c r="K202" s="145"/>
      <c r="L202" s="145"/>
      <c r="M202" s="146"/>
      <c r="N202" s="146"/>
      <c r="O202" s="147"/>
      <c r="P202" s="25"/>
    </row>
    <row r="203" spans="1:16" ht="31.5" customHeight="1" hidden="1">
      <c r="A203" s="582"/>
      <c r="B203" s="607"/>
      <c r="C203" s="617" t="s">
        <v>1176</v>
      </c>
      <c r="D203" s="141" t="s">
        <v>1177</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82"/>
      <c r="B204" s="607"/>
      <c r="C204" s="621"/>
      <c r="D204" s="206" t="s">
        <v>1178</v>
      </c>
      <c r="E204" s="142"/>
      <c r="F204" s="143" t="e">
        <f t="shared" si="25"/>
        <v>#DIV/0!</v>
      </c>
      <c r="G204" s="142"/>
      <c r="H204" s="201"/>
      <c r="I204" s="145"/>
      <c r="J204" s="145"/>
      <c r="K204" s="145"/>
      <c r="L204" s="202"/>
      <c r="M204" s="146"/>
      <c r="N204" s="146"/>
      <c r="O204" s="147"/>
      <c r="P204" s="25"/>
    </row>
    <row r="205" spans="1:16" ht="15.75" customHeight="1" hidden="1">
      <c r="A205" s="582"/>
      <c r="B205" s="607"/>
      <c r="C205" s="621"/>
      <c r="D205" s="206" t="s">
        <v>1179</v>
      </c>
      <c r="E205" s="142"/>
      <c r="F205" s="143" t="e">
        <f t="shared" si="25"/>
        <v>#DIV/0!</v>
      </c>
      <c r="G205" s="142"/>
      <c r="H205" s="201"/>
      <c r="I205" s="145"/>
      <c r="J205" s="145"/>
      <c r="K205" s="145"/>
      <c r="L205" s="202"/>
      <c r="M205" s="146"/>
      <c r="N205" s="146"/>
      <c r="O205" s="147"/>
      <c r="P205" s="25"/>
    </row>
    <row r="206" spans="1:16" ht="15.75" customHeight="1" hidden="1">
      <c r="A206" s="582"/>
      <c r="B206" s="607"/>
      <c r="C206" s="621"/>
      <c r="D206" s="206" t="s">
        <v>1180</v>
      </c>
      <c r="E206" s="142"/>
      <c r="F206" s="143" t="e">
        <f t="shared" si="25"/>
        <v>#DIV/0!</v>
      </c>
      <c r="G206" s="142"/>
      <c r="H206" s="201"/>
      <c r="I206" s="145"/>
      <c r="J206" s="145"/>
      <c r="K206" s="145"/>
      <c r="L206" s="202"/>
      <c r="M206" s="146"/>
      <c r="N206" s="146"/>
      <c r="O206" s="147"/>
      <c r="P206" s="25"/>
    </row>
    <row r="207" spans="1:16" ht="15.75" customHeight="1" hidden="1">
      <c r="A207" s="582"/>
      <c r="B207" s="607"/>
      <c r="C207" s="621"/>
      <c r="D207" s="206" t="s">
        <v>1181</v>
      </c>
      <c r="E207" s="142"/>
      <c r="F207" s="143" t="e">
        <f t="shared" si="25"/>
        <v>#DIV/0!</v>
      </c>
      <c r="G207" s="142"/>
      <c r="H207" s="201"/>
      <c r="I207" s="145"/>
      <c r="J207" s="145"/>
      <c r="K207" s="145"/>
      <c r="L207" s="202"/>
      <c r="M207" s="146"/>
      <c r="N207" s="146"/>
      <c r="O207" s="147"/>
      <c r="P207" s="25"/>
    </row>
    <row r="208" spans="1:16" ht="15.75" customHeight="1" hidden="1">
      <c r="A208" s="582"/>
      <c r="B208" s="607"/>
      <c r="C208" s="621"/>
      <c r="D208" s="206" t="s">
        <v>1182</v>
      </c>
      <c r="E208" s="142"/>
      <c r="F208" s="143" t="e">
        <f t="shared" si="25"/>
        <v>#DIV/0!</v>
      </c>
      <c r="G208" s="142"/>
      <c r="H208" s="201"/>
      <c r="I208" s="145"/>
      <c r="J208" s="145"/>
      <c r="K208" s="145"/>
      <c r="L208" s="202"/>
      <c r="M208" s="146"/>
      <c r="N208" s="146"/>
      <c r="O208" s="147"/>
      <c r="P208" s="25"/>
    </row>
    <row r="209" spans="1:16" ht="15.75" customHeight="1" hidden="1">
      <c r="A209" s="582"/>
      <c r="B209" s="607"/>
      <c r="C209" s="621"/>
      <c r="D209" s="206" t="s">
        <v>2033</v>
      </c>
      <c r="E209" s="142"/>
      <c r="F209" s="143" t="e">
        <f t="shared" si="25"/>
        <v>#DIV/0!</v>
      </c>
      <c r="G209" s="142"/>
      <c r="H209" s="201"/>
      <c r="I209" s="145"/>
      <c r="J209" s="145"/>
      <c r="K209" s="145"/>
      <c r="L209" s="202"/>
      <c r="M209" s="146"/>
      <c r="N209" s="146"/>
      <c r="O209" s="147"/>
      <c r="P209" s="25"/>
    </row>
    <row r="210" spans="1:16" ht="15.75" customHeight="1" hidden="1">
      <c r="A210" s="582"/>
      <c r="B210" s="607"/>
      <c r="C210" s="621"/>
      <c r="D210" s="206" t="s">
        <v>2034</v>
      </c>
      <c r="E210" s="142"/>
      <c r="F210" s="143" t="e">
        <f t="shared" si="25"/>
        <v>#DIV/0!</v>
      </c>
      <c r="G210" s="142"/>
      <c r="H210" s="201"/>
      <c r="I210" s="145"/>
      <c r="J210" s="145"/>
      <c r="K210" s="145"/>
      <c r="L210" s="202"/>
      <c r="M210" s="146"/>
      <c r="N210" s="146"/>
      <c r="O210" s="147"/>
      <c r="P210" s="25"/>
    </row>
    <row r="211" spans="1:16" ht="15.75" customHeight="1" hidden="1">
      <c r="A211" s="582"/>
      <c r="B211" s="607"/>
      <c r="C211" s="621"/>
      <c r="D211" s="206" t="s">
        <v>2035</v>
      </c>
      <c r="E211" s="142"/>
      <c r="F211" s="143" t="e">
        <f t="shared" si="25"/>
        <v>#DIV/0!</v>
      </c>
      <c r="G211" s="142"/>
      <c r="H211" s="201"/>
      <c r="I211" s="145"/>
      <c r="J211" s="145"/>
      <c r="K211" s="145"/>
      <c r="L211" s="202"/>
      <c r="M211" s="146"/>
      <c r="N211" s="146"/>
      <c r="O211" s="147"/>
      <c r="P211" s="25"/>
    </row>
    <row r="212" spans="1:16" ht="15.75" customHeight="1" hidden="1">
      <c r="A212" s="582"/>
      <c r="B212" s="607"/>
      <c r="C212" s="621"/>
      <c r="D212" s="206" t="s">
        <v>2036</v>
      </c>
      <c r="E212" s="142"/>
      <c r="F212" s="143" t="e">
        <f t="shared" si="25"/>
        <v>#DIV/0!</v>
      </c>
      <c r="G212" s="142"/>
      <c r="H212" s="201"/>
      <c r="I212" s="145"/>
      <c r="J212" s="145"/>
      <c r="K212" s="145"/>
      <c r="L212" s="202"/>
      <c r="M212" s="146"/>
      <c r="N212" s="146"/>
      <c r="O212" s="147"/>
      <c r="P212" s="25"/>
    </row>
    <row r="213" spans="1:16" ht="15.75" customHeight="1" hidden="1">
      <c r="A213" s="582"/>
      <c r="B213" s="607"/>
      <c r="C213" s="621"/>
      <c r="D213" s="206" t="s">
        <v>2037</v>
      </c>
      <c r="E213" s="142"/>
      <c r="F213" s="143" t="e">
        <f t="shared" si="25"/>
        <v>#DIV/0!</v>
      </c>
      <c r="G213" s="142"/>
      <c r="H213" s="201"/>
      <c r="I213" s="145"/>
      <c r="J213" s="145"/>
      <c r="K213" s="145"/>
      <c r="L213" s="202"/>
      <c r="M213" s="146"/>
      <c r="N213" s="146"/>
      <c r="O213" s="147"/>
      <c r="P213" s="25"/>
    </row>
    <row r="214" spans="1:16" ht="15.75" customHeight="1" hidden="1">
      <c r="A214" s="582"/>
      <c r="B214" s="607"/>
      <c r="C214" s="621"/>
      <c r="D214" s="206" t="s">
        <v>2038</v>
      </c>
      <c r="E214" s="142"/>
      <c r="F214" s="143" t="e">
        <f t="shared" si="25"/>
        <v>#DIV/0!</v>
      </c>
      <c r="G214" s="142"/>
      <c r="H214" s="201"/>
      <c r="I214" s="145"/>
      <c r="J214" s="145"/>
      <c r="K214" s="145"/>
      <c r="L214" s="202"/>
      <c r="M214" s="146"/>
      <c r="N214" s="146"/>
      <c r="O214" s="147"/>
      <c r="P214" s="25"/>
    </row>
    <row r="215" spans="1:16" ht="31.5" customHeight="1" hidden="1">
      <c r="A215" s="582"/>
      <c r="B215" s="607"/>
      <c r="C215" s="621"/>
      <c r="D215" s="141" t="s">
        <v>1901</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82"/>
      <c r="B216" s="607"/>
      <c r="C216" s="621"/>
      <c r="D216" s="198" t="s">
        <v>1902</v>
      </c>
      <c r="E216" s="142"/>
      <c r="F216" s="143" t="e">
        <f t="shared" si="25"/>
        <v>#DIV/0!</v>
      </c>
      <c r="G216" s="142"/>
      <c r="H216" s="201">
        <f t="shared" si="26"/>
        <v>0</v>
      </c>
      <c r="I216" s="145"/>
      <c r="J216" s="145"/>
      <c r="K216" s="145"/>
      <c r="L216" s="202"/>
      <c r="M216" s="146"/>
      <c r="N216" s="146"/>
      <c r="O216" s="147"/>
      <c r="P216" s="25"/>
    </row>
    <row r="217" spans="1:16" ht="15.75" customHeight="1" hidden="1">
      <c r="A217" s="582"/>
      <c r="B217" s="607"/>
      <c r="C217" s="621"/>
      <c r="D217" s="198" t="s">
        <v>1903</v>
      </c>
      <c r="E217" s="142"/>
      <c r="F217" s="143" t="e">
        <f t="shared" si="25"/>
        <v>#DIV/0!</v>
      </c>
      <c r="G217" s="142"/>
      <c r="H217" s="201">
        <f t="shared" si="26"/>
        <v>0</v>
      </c>
      <c r="I217" s="145"/>
      <c r="J217" s="145"/>
      <c r="K217" s="145"/>
      <c r="L217" s="202"/>
      <c r="M217" s="146"/>
      <c r="N217" s="146"/>
      <c r="O217" s="147"/>
      <c r="P217" s="25"/>
    </row>
    <row r="218" spans="1:16" ht="15.75" customHeight="1" hidden="1">
      <c r="A218" s="582"/>
      <c r="B218" s="607"/>
      <c r="C218" s="621"/>
      <c r="D218" s="198" t="s">
        <v>1904</v>
      </c>
      <c r="E218" s="142"/>
      <c r="F218" s="143" t="e">
        <f t="shared" si="25"/>
        <v>#DIV/0!</v>
      </c>
      <c r="G218" s="142"/>
      <c r="H218" s="201">
        <f t="shared" si="26"/>
        <v>0</v>
      </c>
      <c r="I218" s="145"/>
      <c r="J218" s="145"/>
      <c r="K218" s="145"/>
      <c r="L218" s="202"/>
      <c r="M218" s="146"/>
      <c r="N218" s="146"/>
      <c r="O218" s="147"/>
      <c r="P218" s="25"/>
    </row>
    <row r="219" spans="1:16" ht="15.75" customHeight="1" hidden="1">
      <c r="A219" s="582"/>
      <c r="B219" s="607"/>
      <c r="C219" s="621"/>
      <c r="D219" s="198" t="s">
        <v>1905</v>
      </c>
      <c r="E219" s="142"/>
      <c r="F219" s="143" t="e">
        <f t="shared" si="25"/>
        <v>#DIV/0!</v>
      </c>
      <c r="G219" s="142"/>
      <c r="H219" s="201">
        <f t="shared" si="26"/>
        <v>0</v>
      </c>
      <c r="I219" s="145"/>
      <c r="J219" s="145"/>
      <c r="K219" s="145"/>
      <c r="L219" s="202"/>
      <c r="M219" s="146"/>
      <c r="N219" s="146"/>
      <c r="O219" s="147"/>
      <c r="P219" s="25"/>
    </row>
    <row r="220" spans="1:16" ht="15.75" customHeight="1" hidden="1">
      <c r="A220" s="582"/>
      <c r="B220" s="607"/>
      <c r="C220" s="621"/>
      <c r="D220" s="198" t="s">
        <v>1906</v>
      </c>
      <c r="E220" s="142"/>
      <c r="F220" s="143" t="e">
        <f t="shared" si="25"/>
        <v>#DIV/0!</v>
      </c>
      <c r="G220" s="142"/>
      <c r="H220" s="201">
        <f t="shared" si="26"/>
        <v>0</v>
      </c>
      <c r="I220" s="145"/>
      <c r="J220" s="145"/>
      <c r="K220" s="145"/>
      <c r="L220" s="202"/>
      <c r="M220" s="146"/>
      <c r="N220" s="146"/>
      <c r="O220" s="147"/>
      <c r="P220" s="25"/>
    </row>
    <row r="221" spans="1:16" ht="15.75" customHeight="1" hidden="1">
      <c r="A221" s="582"/>
      <c r="B221" s="607"/>
      <c r="C221" s="621"/>
      <c r="D221" s="198" t="s">
        <v>1907</v>
      </c>
      <c r="E221" s="142"/>
      <c r="F221" s="143" t="e">
        <f t="shared" si="25"/>
        <v>#DIV/0!</v>
      </c>
      <c r="G221" s="142"/>
      <c r="H221" s="201">
        <f t="shared" si="26"/>
        <v>0</v>
      </c>
      <c r="I221" s="145"/>
      <c r="J221" s="145"/>
      <c r="K221" s="145"/>
      <c r="L221" s="202"/>
      <c r="M221" s="146"/>
      <c r="N221" s="146"/>
      <c r="O221" s="147"/>
      <c r="P221" s="25"/>
    </row>
    <row r="222" spans="1:16" ht="15.75" customHeight="1" hidden="1">
      <c r="A222" s="582"/>
      <c r="B222" s="607"/>
      <c r="C222" s="621"/>
      <c r="D222" s="198" t="s">
        <v>1908</v>
      </c>
      <c r="E222" s="142"/>
      <c r="F222" s="143" t="e">
        <f t="shared" si="25"/>
        <v>#DIV/0!</v>
      </c>
      <c r="G222" s="142"/>
      <c r="H222" s="201">
        <f t="shared" si="26"/>
        <v>0</v>
      </c>
      <c r="I222" s="145"/>
      <c r="J222" s="145"/>
      <c r="K222" s="145"/>
      <c r="L222" s="202"/>
      <c r="M222" s="146"/>
      <c r="N222" s="146"/>
      <c r="O222" s="147"/>
      <c r="P222" s="25"/>
    </row>
    <row r="223" spans="1:16" ht="15.75" customHeight="1" hidden="1">
      <c r="A223" s="582"/>
      <c r="B223" s="607"/>
      <c r="C223" s="621"/>
      <c r="D223" s="198" t="s">
        <v>1043</v>
      </c>
      <c r="E223" s="142"/>
      <c r="F223" s="143" t="e">
        <f t="shared" si="25"/>
        <v>#DIV/0!</v>
      </c>
      <c r="G223" s="142"/>
      <c r="H223" s="201">
        <f t="shared" si="26"/>
        <v>0</v>
      </c>
      <c r="I223" s="145"/>
      <c r="J223" s="145"/>
      <c r="K223" s="145"/>
      <c r="L223" s="202"/>
      <c r="M223" s="146"/>
      <c r="N223" s="146"/>
      <c r="O223" s="147"/>
      <c r="P223" s="25"/>
    </row>
    <row r="224" spans="1:16" ht="15.75" customHeight="1" hidden="1">
      <c r="A224" s="582"/>
      <c r="B224" s="607"/>
      <c r="C224" s="621"/>
      <c r="D224" s="198" t="s">
        <v>1081</v>
      </c>
      <c r="E224" s="142"/>
      <c r="F224" s="143" t="e">
        <f t="shared" si="25"/>
        <v>#DIV/0!</v>
      </c>
      <c r="G224" s="142"/>
      <c r="H224" s="201">
        <f t="shared" si="26"/>
        <v>0</v>
      </c>
      <c r="I224" s="145"/>
      <c r="J224" s="145"/>
      <c r="K224" s="145"/>
      <c r="L224" s="202"/>
      <c r="M224" s="146"/>
      <c r="N224" s="146"/>
      <c r="O224" s="147"/>
      <c r="P224" s="25"/>
    </row>
    <row r="225" spans="1:16" ht="15.75" customHeight="1" hidden="1">
      <c r="A225" s="582"/>
      <c r="B225" s="607"/>
      <c r="C225" s="621"/>
      <c r="D225" s="198" t="s">
        <v>1082</v>
      </c>
      <c r="E225" s="142"/>
      <c r="F225" s="143" t="e">
        <f t="shared" si="25"/>
        <v>#DIV/0!</v>
      </c>
      <c r="G225" s="142"/>
      <c r="H225" s="201">
        <f t="shared" si="26"/>
        <v>0</v>
      </c>
      <c r="I225" s="145"/>
      <c r="J225" s="145"/>
      <c r="K225" s="145"/>
      <c r="L225" s="202"/>
      <c r="M225" s="146"/>
      <c r="N225" s="146"/>
      <c r="O225" s="147"/>
      <c r="P225" s="25"/>
    </row>
    <row r="226" spans="1:16" ht="31.5" customHeight="1" hidden="1">
      <c r="A226" s="582"/>
      <c r="B226" s="607"/>
      <c r="C226" s="622"/>
      <c r="D226" s="198" t="s">
        <v>1083</v>
      </c>
      <c r="E226" s="142"/>
      <c r="F226" s="143" t="e">
        <f t="shared" si="25"/>
        <v>#DIV/0!</v>
      </c>
      <c r="G226" s="142"/>
      <c r="H226" s="201">
        <f t="shared" si="26"/>
        <v>0</v>
      </c>
      <c r="I226" s="145"/>
      <c r="J226" s="145"/>
      <c r="K226" s="145"/>
      <c r="L226" s="202"/>
      <c r="M226" s="146"/>
      <c r="N226" s="146"/>
      <c r="O226" s="147"/>
      <c r="P226" s="25"/>
    </row>
    <row r="227" spans="1:16" ht="15.75" customHeight="1" hidden="1">
      <c r="A227" s="582"/>
      <c r="B227" s="607"/>
      <c r="C227" s="212" t="s">
        <v>1084</v>
      </c>
      <c r="D227" s="141" t="s">
        <v>1085</v>
      </c>
      <c r="E227" s="142"/>
      <c r="F227" s="143"/>
      <c r="G227" s="142"/>
      <c r="H227" s="144">
        <f t="shared" si="26"/>
        <v>0</v>
      </c>
      <c r="I227" s="145"/>
      <c r="J227" s="145"/>
      <c r="K227" s="145"/>
      <c r="L227" s="145"/>
      <c r="M227" s="146"/>
      <c r="N227" s="146"/>
      <c r="O227" s="147"/>
      <c r="P227" s="25"/>
    </row>
    <row r="228" spans="1:16" ht="15.75" customHeight="1" hidden="1">
      <c r="A228" s="582"/>
      <c r="B228" s="607"/>
      <c r="C228" s="212"/>
      <c r="D228" s="141" t="s">
        <v>176</v>
      </c>
      <c r="E228" s="142"/>
      <c r="F228" s="143"/>
      <c r="G228" s="142"/>
      <c r="H228" s="144">
        <f t="shared" si="26"/>
        <v>0</v>
      </c>
      <c r="I228" s="145"/>
      <c r="J228" s="145"/>
      <c r="K228" s="145"/>
      <c r="L228" s="145"/>
      <c r="M228" s="146"/>
      <c r="N228" s="146"/>
      <c r="O228" s="147"/>
      <c r="P228" s="25"/>
    </row>
    <row r="229" spans="1:16" ht="16.5" customHeight="1">
      <c r="A229" s="582"/>
      <c r="B229" s="607"/>
      <c r="C229" s="212"/>
      <c r="D229" s="141" t="s">
        <v>1322</v>
      </c>
      <c r="E229" s="142"/>
      <c r="F229" s="143"/>
      <c r="G229" s="142"/>
      <c r="H229" s="144">
        <f t="shared" si="26"/>
        <v>5500</v>
      </c>
      <c r="I229" s="145"/>
      <c r="J229" s="145"/>
      <c r="K229" s="145"/>
      <c r="L229" s="145">
        <v>5500</v>
      </c>
      <c r="M229" s="146"/>
      <c r="N229" s="146"/>
      <c r="O229" s="147"/>
      <c r="P229" s="25"/>
    </row>
    <row r="230" spans="1:16" ht="31.5">
      <c r="A230" s="582"/>
      <c r="B230" s="607"/>
      <c r="C230" s="212"/>
      <c r="D230" s="141" t="s">
        <v>1323</v>
      </c>
      <c r="E230" s="142"/>
      <c r="F230" s="143"/>
      <c r="G230" s="142"/>
      <c r="H230" s="144">
        <f t="shared" si="26"/>
        <v>3000</v>
      </c>
      <c r="I230" s="145">
        <f>3-3</f>
        <v>0</v>
      </c>
      <c r="J230" s="145"/>
      <c r="K230" s="145"/>
      <c r="L230" s="145">
        <v>3000</v>
      </c>
      <c r="M230" s="146"/>
      <c r="N230" s="146"/>
      <c r="O230" s="147"/>
      <c r="P230" s="25"/>
    </row>
    <row r="231" spans="1:16" ht="15.75" hidden="1">
      <c r="A231" s="582"/>
      <c r="B231" s="607"/>
      <c r="C231" s="212"/>
      <c r="D231" s="141" t="s">
        <v>1324</v>
      </c>
      <c r="E231" s="142"/>
      <c r="F231" s="143"/>
      <c r="G231" s="142"/>
      <c r="H231" s="144">
        <f t="shared" si="26"/>
        <v>0</v>
      </c>
      <c r="I231" s="209"/>
      <c r="J231" s="145"/>
      <c r="K231" s="145"/>
      <c r="L231" s="209"/>
      <c r="M231" s="146"/>
      <c r="N231" s="146"/>
      <c r="O231" s="147"/>
      <c r="P231" s="25"/>
    </row>
    <row r="232" spans="1:16" ht="31.5" hidden="1">
      <c r="A232" s="582"/>
      <c r="B232" s="607"/>
      <c r="C232" s="212"/>
      <c r="D232" s="141" t="s">
        <v>1325</v>
      </c>
      <c r="E232" s="142"/>
      <c r="F232" s="143"/>
      <c r="G232" s="142"/>
      <c r="H232" s="144">
        <f t="shared" si="26"/>
        <v>0</v>
      </c>
      <c r="I232" s="209"/>
      <c r="J232" s="145"/>
      <c r="K232" s="145"/>
      <c r="L232" s="209"/>
      <c r="M232" s="146"/>
      <c r="N232" s="146"/>
      <c r="O232" s="147"/>
      <c r="P232" s="25"/>
    </row>
    <row r="233" spans="1:16" ht="15.75" hidden="1">
      <c r="A233" s="582"/>
      <c r="B233" s="607"/>
      <c r="C233" s="212"/>
      <c r="D233" s="141" t="s">
        <v>1326</v>
      </c>
      <c r="E233" s="142"/>
      <c r="F233" s="143"/>
      <c r="G233" s="142"/>
      <c r="H233" s="144">
        <f t="shared" si="26"/>
        <v>0</v>
      </c>
      <c r="I233" s="209"/>
      <c r="J233" s="145"/>
      <c r="K233" s="145"/>
      <c r="L233" s="209"/>
      <c r="M233" s="146"/>
      <c r="N233" s="146"/>
      <c r="O233" s="147"/>
      <c r="P233" s="25"/>
    </row>
    <row r="234" spans="1:16" ht="63" hidden="1">
      <c r="A234" s="582"/>
      <c r="B234" s="607"/>
      <c r="C234" s="212"/>
      <c r="D234" s="141" t="s">
        <v>777</v>
      </c>
      <c r="E234" s="142"/>
      <c r="F234" s="143"/>
      <c r="G234" s="142"/>
      <c r="H234" s="144">
        <f t="shared" si="26"/>
        <v>0</v>
      </c>
      <c r="I234" s="209"/>
      <c r="J234" s="145"/>
      <c r="K234" s="145"/>
      <c r="L234" s="209"/>
      <c r="M234" s="146"/>
      <c r="N234" s="146"/>
      <c r="O234" s="147"/>
      <c r="P234" s="25"/>
    </row>
    <row r="235" spans="1:16" ht="47.25" hidden="1">
      <c r="A235" s="582"/>
      <c r="B235" s="607"/>
      <c r="C235" s="212"/>
      <c r="D235" s="141" t="s">
        <v>1455</v>
      </c>
      <c r="E235" s="142"/>
      <c r="F235" s="143"/>
      <c r="G235" s="142"/>
      <c r="H235" s="144">
        <f t="shared" si="26"/>
        <v>0</v>
      </c>
      <c r="I235" s="209"/>
      <c r="J235" s="145"/>
      <c r="K235" s="145"/>
      <c r="L235" s="209"/>
      <c r="M235" s="146"/>
      <c r="N235" s="146"/>
      <c r="O235" s="147"/>
      <c r="P235" s="25"/>
    </row>
    <row r="236" spans="1:16" ht="15.75" hidden="1">
      <c r="A236" s="582"/>
      <c r="B236" s="607"/>
      <c r="C236" s="212"/>
      <c r="D236" s="141" t="s">
        <v>261</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82"/>
      <c r="B237" s="607"/>
      <c r="C237" s="212"/>
      <c r="D237" s="198" t="s">
        <v>997</v>
      </c>
      <c r="E237" s="199"/>
      <c r="F237" s="200"/>
      <c r="G237" s="199"/>
      <c r="H237" s="201">
        <f t="shared" si="26"/>
        <v>0</v>
      </c>
      <c r="I237" s="214"/>
      <c r="J237" s="202"/>
      <c r="K237" s="202"/>
      <c r="L237" s="209"/>
      <c r="M237" s="146"/>
      <c r="N237" s="146"/>
      <c r="O237" s="147"/>
      <c r="P237" s="25"/>
    </row>
    <row r="238" spans="1:16" ht="15.75" hidden="1">
      <c r="A238" s="582"/>
      <c r="B238" s="607"/>
      <c r="C238" s="212"/>
      <c r="D238" s="198" t="s">
        <v>998</v>
      </c>
      <c r="E238" s="199"/>
      <c r="F238" s="200"/>
      <c r="G238" s="199"/>
      <c r="H238" s="201">
        <f t="shared" si="26"/>
        <v>0</v>
      </c>
      <c r="I238" s="214"/>
      <c r="J238" s="202"/>
      <c r="K238" s="202"/>
      <c r="L238" s="209"/>
      <c r="M238" s="146"/>
      <c r="N238" s="146"/>
      <c r="O238" s="147"/>
      <c r="P238" s="25"/>
    </row>
    <row r="239" spans="1:16" ht="15.75" hidden="1">
      <c r="A239" s="582"/>
      <c r="B239" s="607"/>
      <c r="C239" s="212"/>
      <c r="D239" s="198" t="s">
        <v>1589</v>
      </c>
      <c r="E239" s="199"/>
      <c r="F239" s="200"/>
      <c r="G239" s="199"/>
      <c r="H239" s="201">
        <f t="shared" si="26"/>
        <v>0</v>
      </c>
      <c r="I239" s="214"/>
      <c r="J239" s="202"/>
      <c r="K239" s="202"/>
      <c r="L239" s="209"/>
      <c r="M239" s="146"/>
      <c r="N239" s="146"/>
      <c r="O239" s="147"/>
      <c r="P239" s="25"/>
    </row>
    <row r="240" spans="1:16" ht="15.75" hidden="1">
      <c r="A240" s="582"/>
      <c r="B240" s="607"/>
      <c r="C240" s="212"/>
      <c r="D240" s="198" t="s">
        <v>1590</v>
      </c>
      <c r="E240" s="199"/>
      <c r="F240" s="200"/>
      <c r="G240" s="199"/>
      <c r="H240" s="201">
        <f t="shared" si="26"/>
        <v>0</v>
      </c>
      <c r="I240" s="214"/>
      <c r="J240" s="202"/>
      <c r="K240" s="202"/>
      <c r="L240" s="209"/>
      <c r="M240" s="146"/>
      <c r="N240" s="146"/>
      <c r="O240" s="147"/>
      <c r="P240" s="25"/>
    </row>
    <row r="241" spans="1:16" ht="15.75" hidden="1">
      <c r="A241" s="582"/>
      <c r="B241" s="607"/>
      <c r="C241" s="212"/>
      <c r="D241" s="198" t="s">
        <v>1591</v>
      </c>
      <c r="E241" s="199"/>
      <c r="F241" s="200"/>
      <c r="G241" s="199"/>
      <c r="H241" s="201">
        <f t="shared" si="26"/>
        <v>0</v>
      </c>
      <c r="I241" s="214"/>
      <c r="J241" s="202"/>
      <c r="K241" s="202"/>
      <c r="L241" s="209"/>
      <c r="M241" s="146"/>
      <c r="N241" s="146"/>
      <c r="O241" s="147"/>
      <c r="P241" s="25"/>
    </row>
    <row r="242" spans="1:16" ht="15.75" hidden="1">
      <c r="A242" s="582"/>
      <c r="B242" s="607"/>
      <c r="C242" s="212"/>
      <c r="D242" s="198" t="s">
        <v>535</v>
      </c>
      <c r="E242" s="199"/>
      <c r="F242" s="200"/>
      <c r="G242" s="199"/>
      <c r="H242" s="201">
        <f t="shared" si="26"/>
        <v>0</v>
      </c>
      <c r="I242" s="214"/>
      <c r="J242" s="202"/>
      <c r="K242" s="202"/>
      <c r="L242" s="209"/>
      <c r="M242" s="146"/>
      <c r="N242" s="146"/>
      <c r="O242" s="147"/>
      <c r="P242" s="25"/>
    </row>
    <row r="243" spans="1:16" ht="15.75" hidden="1">
      <c r="A243" s="582"/>
      <c r="B243" s="607"/>
      <c r="C243" s="212"/>
      <c r="D243" s="198" t="s">
        <v>536</v>
      </c>
      <c r="E243" s="199"/>
      <c r="F243" s="200"/>
      <c r="G243" s="199"/>
      <c r="H243" s="201">
        <f t="shared" si="26"/>
        <v>0</v>
      </c>
      <c r="I243" s="214"/>
      <c r="J243" s="202"/>
      <c r="K243" s="202"/>
      <c r="L243" s="209"/>
      <c r="M243" s="146"/>
      <c r="N243" s="146"/>
      <c r="O243" s="147"/>
      <c r="P243" s="25"/>
    </row>
    <row r="244" spans="1:16" ht="15.75" hidden="1">
      <c r="A244" s="582"/>
      <c r="B244" s="607"/>
      <c r="C244" s="212"/>
      <c r="D244" s="198" t="s">
        <v>537</v>
      </c>
      <c r="E244" s="199"/>
      <c r="F244" s="200"/>
      <c r="G244" s="199"/>
      <c r="H244" s="201">
        <f t="shared" si="26"/>
        <v>0</v>
      </c>
      <c r="I244" s="214"/>
      <c r="J244" s="202"/>
      <c r="K244" s="202"/>
      <c r="L244" s="209"/>
      <c r="M244" s="146"/>
      <c r="N244" s="146"/>
      <c r="O244" s="147"/>
      <c r="P244" s="25"/>
    </row>
    <row r="245" spans="1:16" ht="15.75" hidden="1">
      <c r="A245" s="582"/>
      <c r="B245" s="607"/>
      <c r="C245" s="212"/>
      <c r="D245" s="198" t="s">
        <v>538</v>
      </c>
      <c r="E245" s="199"/>
      <c r="F245" s="200"/>
      <c r="G245" s="199"/>
      <c r="H245" s="201">
        <f t="shared" si="26"/>
        <v>0</v>
      </c>
      <c r="I245" s="214"/>
      <c r="J245" s="202"/>
      <c r="K245" s="202"/>
      <c r="L245" s="209"/>
      <c r="M245" s="146"/>
      <c r="N245" s="146"/>
      <c r="O245" s="147"/>
      <c r="P245" s="25"/>
    </row>
    <row r="246" spans="1:16" ht="15.75" hidden="1">
      <c r="A246" s="582"/>
      <c r="B246" s="607"/>
      <c r="C246" s="212"/>
      <c r="D246" s="141" t="s">
        <v>1155</v>
      </c>
      <c r="E246" s="142"/>
      <c r="F246" s="143"/>
      <c r="G246" s="142"/>
      <c r="H246" s="144">
        <f t="shared" si="26"/>
        <v>0</v>
      </c>
      <c r="I246" s="209"/>
      <c r="J246" s="145"/>
      <c r="K246" s="145"/>
      <c r="L246" s="209"/>
      <c r="M246" s="146"/>
      <c r="N246" s="146"/>
      <c r="O246" s="147"/>
      <c r="P246" s="25"/>
    </row>
    <row r="247" spans="1:16" ht="31.5" hidden="1">
      <c r="A247" s="582"/>
      <c r="B247" s="607"/>
      <c r="C247" s="212"/>
      <c r="D247" s="141" t="s">
        <v>1118</v>
      </c>
      <c r="E247" s="142"/>
      <c r="F247" s="143"/>
      <c r="G247" s="142"/>
      <c r="H247" s="144">
        <f t="shared" si="26"/>
        <v>0</v>
      </c>
      <c r="I247" s="209"/>
      <c r="J247" s="145"/>
      <c r="K247" s="145"/>
      <c r="L247" s="209"/>
      <c r="M247" s="146"/>
      <c r="N247" s="146"/>
      <c r="O247" s="147"/>
      <c r="P247" s="25"/>
    </row>
    <row r="248" spans="1:16" ht="31.5" hidden="1">
      <c r="A248" s="582"/>
      <c r="B248" s="607"/>
      <c r="C248" s="212"/>
      <c r="D248" s="14" t="s">
        <v>1121</v>
      </c>
      <c r="E248" s="142"/>
      <c r="F248" s="143"/>
      <c r="G248" s="142"/>
      <c r="H248" s="144">
        <f t="shared" si="26"/>
        <v>0</v>
      </c>
      <c r="I248" s="209"/>
      <c r="J248" s="145"/>
      <c r="K248" s="145"/>
      <c r="L248" s="209"/>
      <c r="M248" s="146"/>
      <c r="N248" s="146"/>
      <c r="O248" s="147"/>
      <c r="P248" s="25"/>
    </row>
    <row r="249" spans="1:16" ht="31.5" hidden="1">
      <c r="A249" s="582"/>
      <c r="B249" s="607"/>
      <c r="C249" s="212"/>
      <c r="D249" s="14" t="s">
        <v>2053</v>
      </c>
      <c r="E249" s="142"/>
      <c r="F249" s="143"/>
      <c r="G249" s="142"/>
      <c r="H249" s="144">
        <f t="shared" si="26"/>
        <v>0</v>
      </c>
      <c r="I249" s="209"/>
      <c r="J249" s="145"/>
      <c r="K249" s="145"/>
      <c r="L249" s="209"/>
      <c r="M249" s="146"/>
      <c r="N249" s="146"/>
      <c r="O249" s="147"/>
      <c r="P249" s="25"/>
    </row>
    <row r="250" spans="1:16" ht="31.5" hidden="1">
      <c r="A250" s="582"/>
      <c r="B250" s="607"/>
      <c r="C250" s="212"/>
      <c r="D250" s="141" t="s">
        <v>1662</v>
      </c>
      <c r="E250" s="142"/>
      <c r="F250" s="143"/>
      <c r="G250" s="142"/>
      <c r="H250" s="144">
        <f t="shared" si="26"/>
        <v>0</v>
      </c>
      <c r="I250" s="209"/>
      <c r="J250" s="145"/>
      <c r="K250" s="145"/>
      <c r="L250" s="209"/>
      <c r="M250" s="146"/>
      <c r="N250" s="146"/>
      <c r="O250" s="147"/>
      <c r="P250" s="25"/>
    </row>
    <row r="251" spans="1:16" ht="15.75" hidden="1">
      <c r="A251" s="582"/>
      <c r="B251" s="607"/>
      <c r="C251" s="212"/>
      <c r="D251" s="141" t="s">
        <v>1654</v>
      </c>
      <c r="E251" s="142"/>
      <c r="F251" s="143"/>
      <c r="G251" s="142"/>
      <c r="H251" s="144">
        <f t="shared" si="26"/>
        <v>0</v>
      </c>
      <c r="I251" s="209"/>
      <c r="J251" s="145"/>
      <c r="K251" s="145"/>
      <c r="L251" s="209"/>
      <c r="M251" s="146"/>
      <c r="N251" s="146"/>
      <c r="O251" s="147"/>
      <c r="P251" s="25"/>
    </row>
    <row r="252" spans="1:16" ht="15.75" hidden="1">
      <c r="A252" s="582"/>
      <c r="B252" s="607"/>
      <c r="C252" s="212"/>
      <c r="D252" s="141" t="s">
        <v>1655</v>
      </c>
      <c r="E252" s="142"/>
      <c r="F252" s="143"/>
      <c r="G252" s="142"/>
      <c r="H252" s="144">
        <f t="shared" si="26"/>
        <v>0</v>
      </c>
      <c r="I252" s="209"/>
      <c r="J252" s="145"/>
      <c r="K252" s="145"/>
      <c r="L252" s="209"/>
      <c r="M252" s="146"/>
      <c r="N252" s="146"/>
      <c r="O252" s="147"/>
      <c r="P252" s="25"/>
    </row>
    <row r="253" spans="1:16" ht="47.25" hidden="1">
      <c r="A253" s="582"/>
      <c r="B253" s="607"/>
      <c r="C253" s="212"/>
      <c r="D253" s="141" t="s">
        <v>679</v>
      </c>
      <c r="E253" s="142"/>
      <c r="F253" s="143"/>
      <c r="G253" s="142"/>
      <c r="H253" s="144">
        <f t="shared" si="26"/>
        <v>0</v>
      </c>
      <c r="I253" s="209"/>
      <c r="J253" s="145"/>
      <c r="K253" s="145"/>
      <c r="L253" s="209"/>
      <c r="M253" s="146"/>
      <c r="N253" s="146"/>
      <c r="O253" s="147"/>
      <c r="P253" s="25"/>
    </row>
    <row r="254" spans="1:16" ht="15.75" hidden="1">
      <c r="A254" s="582"/>
      <c r="B254" s="607"/>
      <c r="C254" s="212"/>
      <c r="D254" s="141" t="s">
        <v>680</v>
      </c>
      <c r="E254" s="142"/>
      <c r="F254" s="143"/>
      <c r="G254" s="142"/>
      <c r="H254" s="144">
        <f t="shared" si="26"/>
        <v>0</v>
      </c>
      <c r="I254" s="209"/>
      <c r="J254" s="145"/>
      <c r="K254" s="145"/>
      <c r="L254" s="209"/>
      <c r="M254" s="146"/>
      <c r="N254" s="146"/>
      <c r="O254" s="147"/>
      <c r="P254" s="25"/>
    </row>
    <row r="255" spans="1:16" ht="15.75" hidden="1">
      <c r="A255" s="582"/>
      <c r="B255" s="607"/>
      <c r="C255" s="212"/>
      <c r="D255" s="141" t="s">
        <v>1527</v>
      </c>
      <c r="E255" s="142"/>
      <c r="F255" s="143"/>
      <c r="G255" s="142"/>
      <c r="H255" s="144">
        <f t="shared" si="26"/>
        <v>0</v>
      </c>
      <c r="I255" s="209"/>
      <c r="J255" s="145"/>
      <c r="K255" s="145"/>
      <c r="L255" s="209"/>
      <c r="M255" s="146"/>
      <c r="N255" s="146"/>
      <c r="O255" s="147"/>
      <c r="P255" s="25"/>
    </row>
    <row r="256" spans="1:16" ht="15.75" hidden="1">
      <c r="A256" s="582"/>
      <c r="B256" s="607"/>
      <c r="C256" s="212"/>
      <c r="D256" s="141" t="s">
        <v>1584</v>
      </c>
      <c r="E256" s="142"/>
      <c r="F256" s="143"/>
      <c r="G256" s="142"/>
      <c r="H256" s="144">
        <f t="shared" si="26"/>
        <v>0</v>
      </c>
      <c r="I256" s="209"/>
      <c r="J256" s="145"/>
      <c r="K256" s="145"/>
      <c r="L256" s="209"/>
      <c r="M256" s="146"/>
      <c r="N256" s="146"/>
      <c r="O256" s="147"/>
      <c r="P256" s="25"/>
    </row>
    <row r="257" spans="1:17" s="45" customFormat="1" ht="15.75" hidden="1">
      <c r="A257" s="582"/>
      <c r="B257" s="607"/>
      <c r="C257" s="212"/>
      <c r="D257" s="13" t="s">
        <v>1585</v>
      </c>
      <c r="E257" s="142"/>
      <c r="F257" s="143"/>
      <c r="G257" s="142"/>
      <c r="H257" s="144">
        <f t="shared" si="26"/>
        <v>0</v>
      </c>
      <c r="I257" s="209"/>
      <c r="J257" s="145"/>
      <c r="K257" s="145"/>
      <c r="L257" s="209"/>
      <c r="M257" s="146"/>
      <c r="N257" s="146"/>
      <c r="O257" s="147"/>
      <c r="P257" s="25"/>
      <c r="Q257" s="22"/>
    </row>
    <row r="258" spans="1:17" s="45" customFormat="1" ht="15.75" hidden="1">
      <c r="A258" s="582"/>
      <c r="B258" s="607"/>
      <c r="C258" s="212"/>
      <c r="D258" s="13" t="s">
        <v>1570</v>
      </c>
      <c r="E258" s="142"/>
      <c r="F258" s="143"/>
      <c r="G258" s="142"/>
      <c r="H258" s="144">
        <f t="shared" si="26"/>
        <v>0</v>
      </c>
      <c r="I258" s="209"/>
      <c r="J258" s="145"/>
      <c r="K258" s="145"/>
      <c r="L258" s="209"/>
      <c r="M258" s="146"/>
      <c r="N258" s="146"/>
      <c r="O258" s="147"/>
      <c r="P258" s="25"/>
      <c r="Q258" s="22"/>
    </row>
    <row r="259" spans="1:17" s="45" customFormat="1" ht="15.75" hidden="1">
      <c r="A259" s="582"/>
      <c r="B259" s="607"/>
      <c r="C259" s="212"/>
      <c r="D259" s="13" t="s">
        <v>1414</v>
      </c>
      <c r="E259" s="142"/>
      <c r="F259" s="143"/>
      <c r="G259" s="142"/>
      <c r="H259" s="144">
        <f t="shared" si="26"/>
        <v>0</v>
      </c>
      <c r="I259" s="209"/>
      <c r="J259" s="145"/>
      <c r="K259" s="145"/>
      <c r="L259" s="209"/>
      <c r="M259" s="146"/>
      <c r="N259" s="146"/>
      <c r="O259" s="147"/>
      <c r="P259" s="25"/>
      <c r="Q259" s="22"/>
    </row>
    <row r="260" spans="1:17" s="45" customFormat="1" ht="18.75" customHeight="1" hidden="1">
      <c r="A260" s="582"/>
      <c r="B260" s="607"/>
      <c r="C260" s="212"/>
      <c r="D260" s="141" t="s">
        <v>656</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81" t="s">
        <v>106</v>
      </c>
      <c r="B268" s="605" t="s">
        <v>1415</v>
      </c>
      <c r="C268" s="215"/>
      <c r="D268" s="136" t="s">
        <v>1456</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82"/>
      <c r="B269" s="607"/>
      <c r="C269" s="212" t="s">
        <v>1416</v>
      </c>
      <c r="D269" s="141" t="s">
        <v>1637</v>
      </c>
      <c r="E269" s="142"/>
      <c r="F269" s="143"/>
      <c r="G269" s="142"/>
      <c r="H269" s="144">
        <f t="shared" si="27"/>
        <v>0</v>
      </c>
      <c r="I269" s="145"/>
      <c r="J269" s="145"/>
      <c r="K269" s="145"/>
      <c r="L269" s="145"/>
      <c r="M269" s="146"/>
      <c r="N269" s="146"/>
      <c r="O269" s="147"/>
      <c r="P269" s="25"/>
      <c r="Q269" s="22"/>
    </row>
    <row r="270" spans="1:17" s="45" customFormat="1" ht="71.25" customHeight="1">
      <c r="A270" s="582"/>
      <c r="B270" s="607"/>
      <c r="C270" s="212" t="s">
        <v>1164</v>
      </c>
      <c r="D270" s="141" t="s">
        <v>1638</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82"/>
      <c r="B271" s="607"/>
      <c r="C271" s="617"/>
      <c r="D271" s="141" t="s">
        <v>1639</v>
      </c>
      <c r="E271" s="142"/>
      <c r="F271" s="143"/>
      <c r="G271" s="142"/>
      <c r="H271" s="144">
        <f t="shared" si="27"/>
        <v>0</v>
      </c>
      <c r="I271" s="145"/>
      <c r="J271" s="145"/>
      <c r="K271" s="145"/>
      <c r="L271" s="145">
        <f>L272</f>
        <v>0</v>
      </c>
      <c r="M271" s="146"/>
      <c r="N271" s="146"/>
      <c r="O271" s="147"/>
      <c r="P271" s="25"/>
      <c r="Q271" s="22"/>
    </row>
    <row r="272" spans="1:17" s="45" customFormat="1" ht="31.5" hidden="1">
      <c r="A272" s="566"/>
      <c r="B272" s="566"/>
      <c r="C272" s="619"/>
      <c r="D272" s="198" t="s">
        <v>1931</v>
      </c>
      <c r="E272" s="142"/>
      <c r="F272" s="143"/>
      <c r="G272" s="142"/>
      <c r="H272" s="201">
        <f t="shared" si="27"/>
        <v>0</v>
      </c>
      <c r="I272" s="145"/>
      <c r="J272" s="145"/>
      <c r="K272" s="145"/>
      <c r="L272" s="145"/>
      <c r="M272" s="146"/>
      <c r="N272" s="146"/>
      <c r="O272" s="147"/>
      <c r="P272" s="25"/>
      <c r="Q272" s="22"/>
    </row>
    <row r="273" spans="1:63" s="28" customFormat="1" ht="15.75" hidden="1">
      <c r="A273" s="581" t="s">
        <v>107</v>
      </c>
      <c r="B273" s="605" t="s">
        <v>1932</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82"/>
      <c r="B274" s="607"/>
      <c r="C274" s="212" t="s">
        <v>1228</v>
      </c>
      <c r="D274" s="141" t="s">
        <v>1229</v>
      </c>
      <c r="E274" s="142"/>
      <c r="F274" s="143"/>
      <c r="G274" s="142"/>
      <c r="H274" s="144">
        <f t="shared" si="27"/>
        <v>0</v>
      </c>
      <c r="I274" s="145"/>
      <c r="J274" s="145"/>
      <c r="K274" s="145"/>
      <c r="L274" s="145"/>
      <c r="M274" s="146"/>
      <c r="N274" s="146"/>
      <c r="O274" s="147"/>
      <c r="P274" s="25"/>
      <c r="Q274" s="22"/>
    </row>
    <row r="275" spans="1:17" s="45" customFormat="1" ht="30" customHeight="1" hidden="1">
      <c r="A275" s="566"/>
      <c r="B275" s="566"/>
      <c r="C275" s="212" t="s">
        <v>1230</v>
      </c>
      <c r="D275" s="141" t="s">
        <v>793</v>
      </c>
      <c r="E275" s="142"/>
      <c r="F275" s="143"/>
      <c r="G275" s="142"/>
      <c r="H275" s="144">
        <f t="shared" si="27"/>
        <v>0</v>
      </c>
      <c r="I275" s="209">
        <f>3-3</f>
        <v>0</v>
      </c>
      <c r="J275" s="145"/>
      <c r="K275" s="145"/>
      <c r="L275" s="209"/>
      <c r="M275" s="146"/>
      <c r="N275" s="146"/>
      <c r="O275" s="147"/>
      <c r="P275" s="25"/>
      <c r="Q275" s="22"/>
    </row>
    <row r="276" spans="1:63" s="28" customFormat="1" ht="15.75" hidden="1">
      <c r="A276" s="581" t="s">
        <v>108</v>
      </c>
      <c r="B276" s="605" t="s">
        <v>794</v>
      </c>
      <c r="C276" s="215"/>
      <c r="D276" s="136" t="s">
        <v>1456</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83"/>
      <c r="B277" s="606"/>
      <c r="C277" s="212" t="s">
        <v>1058</v>
      </c>
      <c r="D277" s="141" t="s">
        <v>756</v>
      </c>
      <c r="E277" s="142"/>
      <c r="F277" s="143"/>
      <c r="G277" s="142"/>
      <c r="H277" s="144">
        <f t="shared" si="27"/>
        <v>0</v>
      </c>
      <c r="I277" s="145"/>
      <c r="J277" s="145"/>
      <c r="K277" s="145"/>
      <c r="L277" s="145"/>
      <c r="M277" s="146"/>
      <c r="N277" s="146"/>
      <c r="O277" s="147"/>
      <c r="P277" s="25"/>
      <c r="Q277" s="22"/>
    </row>
    <row r="278" spans="1:17" s="45" customFormat="1" ht="15.75">
      <c r="A278" s="581" t="s">
        <v>109</v>
      </c>
      <c r="B278" s="605" t="s">
        <v>1450</v>
      </c>
      <c r="C278" s="212"/>
      <c r="D278" s="136" t="s">
        <v>1456</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82"/>
      <c r="B279" s="607"/>
      <c r="C279" s="212" t="s">
        <v>757</v>
      </c>
      <c r="D279" s="141" t="s">
        <v>758</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83"/>
      <c r="B280" s="606"/>
      <c r="C280" s="212"/>
      <c r="D280" s="141" t="s">
        <v>1266</v>
      </c>
      <c r="E280" s="142"/>
      <c r="F280" s="143"/>
      <c r="G280" s="172"/>
      <c r="H280" s="144">
        <f t="shared" si="27"/>
        <v>0</v>
      </c>
      <c r="I280" s="145"/>
      <c r="J280" s="145"/>
      <c r="K280" s="145"/>
      <c r="L280" s="145"/>
      <c r="M280" s="146"/>
      <c r="N280" s="146"/>
      <c r="O280" s="147"/>
      <c r="P280" s="25"/>
      <c r="Q280" s="22"/>
    </row>
    <row r="281" spans="1:17" s="30" customFormat="1" ht="15.75">
      <c r="A281" s="581" t="s">
        <v>1459</v>
      </c>
      <c r="B281" s="605" t="s">
        <v>1256</v>
      </c>
      <c r="C281" s="135"/>
      <c r="D281" s="136" t="s">
        <v>1267</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82"/>
      <c r="B282" s="607"/>
      <c r="C282" s="167" t="s">
        <v>1268</v>
      </c>
      <c r="D282" s="141" t="s">
        <v>2113</v>
      </c>
      <c r="E282" s="142"/>
      <c r="F282" s="143"/>
      <c r="G282" s="172"/>
      <c r="H282" s="144">
        <f t="shared" si="27"/>
        <v>0</v>
      </c>
      <c r="I282" s="145"/>
      <c r="J282" s="145"/>
      <c r="K282" s="145"/>
      <c r="L282" s="145"/>
      <c r="M282" s="146"/>
      <c r="N282" s="146"/>
      <c r="O282" s="147"/>
      <c r="P282" s="25"/>
      <c r="Q282" s="22"/>
    </row>
    <row r="283" spans="1:17" s="45" customFormat="1" ht="31.5" hidden="1">
      <c r="A283" s="582"/>
      <c r="B283" s="607"/>
      <c r="C283" s="167" t="s">
        <v>1058</v>
      </c>
      <c r="D283" s="141" t="s">
        <v>103</v>
      </c>
      <c r="E283" s="142"/>
      <c r="F283" s="143"/>
      <c r="G283" s="172"/>
      <c r="H283" s="144">
        <f t="shared" si="27"/>
        <v>0</v>
      </c>
      <c r="I283" s="145"/>
      <c r="J283" s="145"/>
      <c r="K283" s="145"/>
      <c r="L283" s="145"/>
      <c r="M283" s="146"/>
      <c r="N283" s="146"/>
      <c r="O283" s="147"/>
      <c r="P283" s="25"/>
      <c r="Q283" s="22"/>
    </row>
    <row r="284" spans="1:17" s="45" customFormat="1" ht="47.25">
      <c r="A284" s="582"/>
      <c r="B284" s="607"/>
      <c r="C284" s="167" t="s">
        <v>1483</v>
      </c>
      <c r="D284" s="141" t="s">
        <v>1880</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82"/>
      <c r="B285" s="607"/>
      <c r="C285" s="167" t="s">
        <v>1600</v>
      </c>
      <c r="D285" s="141" t="s">
        <v>1881</v>
      </c>
      <c r="E285" s="142"/>
      <c r="F285" s="143"/>
      <c r="G285" s="172"/>
      <c r="H285" s="144">
        <f t="shared" si="27"/>
        <v>0</v>
      </c>
      <c r="I285" s="145"/>
      <c r="J285" s="145"/>
      <c r="K285" s="145"/>
      <c r="L285" s="145"/>
      <c r="M285" s="146"/>
      <c r="N285" s="146"/>
      <c r="O285" s="147"/>
      <c r="P285" s="25"/>
      <c r="Q285" s="22"/>
    </row>
    <row r="286" spans="1:17" s="30" customFormat="1" ht="15.75" customHeight="1">
      <c r="A286" s="157" t="s">
        <v>983</v>
      </c>
      <c r="B286" s="166" t="s">
        <v>863</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81" t="s">
        <v>1882</v>
      </c>
      <c r="B287" s="605" t="s">
        <v>1894</v>
      </c>
      <c r="C287" s="135"/>
      <c r="D287" s="136" t="s">
        <v>1456</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82"/>
      <c r="B288" s="607"/>
      <c r="C288" s="135" t="s">
        <v>1058</v>
      </c>
      <c r="D288" s="141" t="s">
        <v>1895</v>
      </c>
      <c r="E288" s="172"/>
      <c r="F288" s="143"/>
      <c r="G288" s="172"/>
      <c r="H288" s="144">
        <f t="shared" si="27"/>
        <v>0</v>
      </c>
      <c r="I288" s="145"/>
      <c r="J288" s="145"/>
      <c r="K288" s="145"/>
      <c r="L288" s="145"/>
      <c r="M288" s="146"/>
      <c r="N288" s="146"/>
      <c r="O288" s="182"/>
      <c r="P288" s="25"/>
      <c r="Q288" s="29"/>
    </row>
    <row r="289" spans="1:17" s="30" customFormat="1" ht="15.75" hidden="1">
      <c r="A289" s="582"/>
      <c r="B289" s="607"/>
      <c r="C289" s="135"/>
      <c r="D289" s="141" t="s">
        <v>1896</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82"/>
      <c r="B290" s="607"/>
      <c r="C290" s="135"/>
      <c r="D290" s="141" t="s">
        <v>653</v>
      </c>
      <c r="E290" s="142"/>
      <c r="F290" s="143"/>
      <c r="G290" s="142"/>
      <c r="H290" s="144">
        <f t="shared" si="27"/>
        <v>0</v>
      </c>
      <c r="I290" s="145"/>
      <c r="J290" s="145"/>
      <c r="K290" s="145"/>
      <c r="L290" s="145"/>
      <c r="M290" s="146"/>
      <c r="N290" s="146"/>
      <c r="O290" s="182"/>
      <c r="P290" s="25"/>
      <c r="Q290" s="29"/>
    </row>
    <row r="291" spans="1:17" s="30" customFormat="1" ht="31.5" hidden="1">
      <c r="A291" s="582"/>
      <c r="B291" s="607"/>
      <c r="C291" s="135"/>
      <c r="D291" s="141" t="s">
        <v>654</v>
      </c>
      <c r="E291" s="142"/>
      <c r="F291" s="143"/>
      <c r="G291" s="142"/>
      <c r="H291" s="144">
        <f t="shared" si="27"/>
        <v>0</v>
      </c>
      <c r="I291" s="145"/>
      <c r="J291" s="145"/>
      <c r="K291" s="145"/>
      <c r="L291" s="145"/>
      <c r="M291" s="146"/>
      <c r="N291" s="146"/>
      <c r="O291" s="182"/>
      <c r="P291" s="25"/>
      <c r="Q291" s="29"/>
    </row>
    <row r="292" spans="1:17" s="30" customFormat="1" ht="31.5" hidden="1">
      <c r="A292" s="582"/>
      <c r="B292" s="607"/>
      <c r="C292" s="135"/>
      <c r="D292" s="141" t="s">
        <v>655</v>
      </c>
      <c r="E292" s="142"/>
      <c r="F292" s="143"/>
      <c r="G292" s="142"/>
      <c r="H292" s="144">
        <f t="shared" si="27"/>
        <v>0</v>
      </c>
      <c r="I292" s="145"/>
      <c r="J292" s="145"/>
      <c r="K292" s="145"/>
      <c r="L292" s="145"/>
      <c r="M292" s="146"/>
      <c r="N292" s="146"/>
      <c r="O292" s="182"/>
      <c r="P292" s="25"/>
      <c r="Q292" s="29"/>
    </row>
    <row r="293" spans="1:17" s="30" customFormat="1" ht="15.75" hidden="1">
      <c r="A293" s="582"/>
      <c r="B293" s="607"/>
      <c r="C293" s="135"/>
      <c r="D293" s="141" t="s">
        <v>1484</v>
      </c>
      <c r="E293" s="142"/>
      <c r="F293" s="143"/>
      <c r="G293" s="142"/>
      <c r="H293" s="144">
        <f t="shared" si="27"/>
        <v>0</v>
      </c>
      <c r="I293" s="145"/>
      <c r="J293" s="145"/>
      <c r="K293" s="145"/>
      <c r="L293" s="145"/>
      <c r="M293" s="146"/>
      <c r="N293" s="146"/>
      <c r="O293" s="182"/>
      <c r="P293" s="25"/>
      <c r="Q293" s="29"/>
    </row>
    <row r="294" spans="1:17" s="30" customFormat="1" ht="31.5" hidden="1">
      <c r="A294" s="583"/>
      <c r="B294" s="606"/>
      <c r="C294" s="135" t="s">
        <v>1485</v>
      </c>
      <c r="D294" s="141" t="s">
        <v>1486</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81" t="s">
        <v>1103</v>
      </c>
      <c r="B295" s="605" t="s">
        <v>984</v>
      </c>
      <c r="C295" s="167"/>
      <c r="D295" s="216" t="s">
        <v>1456</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82"/>
      <c r="B296" s="607"/>
      <c r="C296" s="167" t="s">
        <v>1487</v>
      </c>
      <c r="D296" s="217" t="s">
        <v>1924</v>
      </c>
      <c r="E296" s="142"/>
      <c r="F296" s="143"/>
      <c r="G296" s="142"/>
      <c r="H296" s="144">
        <f t="shared" si="27"/>
        <v>0</v>
      </c>
      <c r="I296" s="145"/>
      <c r="J296" s="145"/>
      <c r="K296" s="145"/>
      <c r="L296" s="145"/>
      <c r="M296" s="146"/>
      <c r="N296" s="146"/>
      <c r="O296" s="146"/>
      <c r="P296" s="25"/>
      <c r="Q296" s="29"/>
    </row>
    <row r="297" spans="1:17" s="30" customFormat="1" ht="31.5" hidden="1">
      <c r="A297" s="582"/>
      <c r="B297" s="607"/>
      <c r="C297" s="167" t="s">
        <v>1925</v>
      </c>
      <c r="D297" s="217" t="s">
        <v>59</v>
      </c>
      <c r="E297" s="142"/>
      <c r="F297" s="143"/>
      <c r="G297" s="142"/>
      <c r="H297" s="144">
        <f t="shared" si="27"/>
        <v>0</v>
      </c>
      <c r="I297" s="145"/>
      <c r="J297" s="145"/>
      <c r="K297" s="145"/>
      <c r="L297" s="145"/>
      <c r="M297" s="146"/>
      <c r="N297" s="146"/>
      <c r="O297" s="146"/>
      <c r="P297" s="25"/>
      <c r="Q297" s="29"/>
    </row>
    <row r="298" spans="1:17" s="30" customFormat="1" ht="31.5" hidden="1">
      <c r="A298" s="582"/>
      <c r="B298" s="607"/>
      <c r="C298" s="167" t="s">
        <v>1058</v>
      </c>
      <c r="D298" s="217" t="s">
        <v>60</v>
      </c>
      <c r="E298" s="142"/>
      <c r="F298" s="143"/>
      <c r="G298" s="142"/>
      <c r="H298" s="144">
        <f t="shared" si="27"/>
        <v>0</v>
      </c>
      <c r="I298" s="145"/>
      <c r="J298" s="145"/>
      <c r="K298" s="145"/>
      <c r="L298" s="145"/>
      <c r="M298" s="146"/>
      <c r="N298" s="146"/>
      <c r="O298" s="146"/>
      <c r="P298" s="25"/>
      <c r="Q298" s="29"/>
    </row>
    <row r="299" spans="1:17" s="30" customFormat="1" ht="31.5" hidden="1">
      <c r="A299" s="582"/>
      <c r="B299" s="607"/>
      <c r="C299" s="167" t="s">
        <v>61</v>
      </c>
      <c r="D299" s="217" t="s">
        <v>1612</v>
      </c>
      <c r="E299" s="142"/>
      <c r="F299" s="143"/>
      <c r="G299" s="142"/>
      <c r="H299" s="144">
        <f t="shared" si="27"/>
        <v>0</v>
      </c>
      <c r="I299" s="145"/>
      <c r="J299" s="145"/>
      <c r="K299" s="145"/>
      <c r="L299" s="145"/>
      <c r="M299" s="146"/>
      <c r="N299" s="146"/>
      <c r="O299" s="146"/>
      <c r="P299" s="25"/>
      <c r="Q299" s="29"/>
    </row>
    <row r="300" spans="1:17" s="30" customFormat="1" ht="15.75" hidden="1">
      <c r="A300" s="566"/>
      <c r="B300" s="566"/>
      <c r="C300" s="167"/>
      <c r="D300" s="217" t="s">
        <v>413</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81" t="s">
        <v>414</v>
      </c>
      <c r="B301" s="605" t="s">
        <v>985</v>
      </c>
      <c r="C301" s="195"/>
      <c r="D301" s="136" t="s">
        <v>1456</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82"/>
      <c r="B302" s="607"/>
      <c r="C302" s="167" t="s">
        <v>673</v>
      </c>
      <c r="D302" s="217" t="s">
        <v>975</v>
      </c>
      <c r="E302" s="142"/>
      <c r="F302" s="143"/>
      <c r="G302" s="142"/>
      <c r="H302" s="144">
        <f t="shared" si="27"/>
        <v>0</v>
      </c>
      <c r="I302" s="145"/>
      <c r="J302" s="145"/>
      <c r="K302" s="145"/>
      <c r="L302" s="145"/>
      <c r="M302" s="146"/>
      <c r="N302" s="146"/>
      <c r="O302" s="147"/>
      <c r="P302" s="25"/>
      <c r="Q302" s="22"/>
    </row>
    <row r="303" spans="1:17" s="40" customFormat="1" ht="15.75" customHeight="1" hidden="1">
      <c r="A303" s="582"/>
      <c r="B303" s="607"/>
      <c r="C303" s="167" t="s">
        <v>1600</v>
      </c>
      <c r="D303" s="217" t="s">
        <v>976</v>
      </c>
      <c r="E303" s="142"/>
      <c r="F303" s="143"/>
      <c r="G303" s="142"/>
      <c r="H303" s="144">
        <f t="shared" si="27"/>
        <v>0</v>
      </c>
      <c r="I303" s="145"/>
      <c r="J303" s="145"/>
      <c r="K303" s="145"/>
      <c r="L303" s="145"/>
      <c r="M303" s="146"/>
      <c r="N303" s="146"/>
      <c r="O303" s="147"/>
      <c r="P303" s="25"/>
      <c r="Q303" s="22"/>
    </row>
    <row r="304" spans="1:17" s="40" customFormat="1" ht="35.25" customHeight="1">
      <c r="A304" s="582"/>
      <c r="B304" s="607"/>
      <c r="C304" s="167" t="s">
        <v>671</v>
      </c>
      <c r="D304" s="217" t="s">
        <v>1467</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82"/>
      <c r="B305" s="607"/>
      <c r="C305" s="167" t="s">
        <v>670</v>
      </c>
      <c r="D305" s="217" t="s">
        <v>743</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82"/>
      <c r="B306" s="607"/>
      <c r="C306" s="167" t="s">
        <v>15</v>
      </c>
      <c r="D306" s="217" t="s">
        <v>16</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82"/>
      <c r="B307" s="607"/>
      <c r="C307" s="167" t="s">
        <v>17</v>
      </c>
      <c r="D307" s="217" t="s">
        <v>163</v>
      </c>
      <c r="E307" s="142"/>
      <c r="F307" s="143"/>
      <c r="G307" s="142"/>
      <c r="H307" s="144">
        <f t="shared" si="27"/>
        <v>0</v>
      </c>
      <c r="I307" s="209">
        <f>3.998-3.998</f>
        <v>0</v>
      </c>
      <c r="J307" s="145"/>
      <c r="K307" s="145"/>
      <c r="L307" s="209"/>
      <c r="M307" s="146"/>
      <c r="N307" s="146"/>
      <c r="O307" s="147"/>
      <c r="P307" s="25"/>
      <c r="Q307" s="22"/>
    </row>
    <row r="308" spans="1:17" s="40" customFormat="1" ht="31.5" hidden="1">
      <c r="A308" s="582"/>
      <c r="B308" s="607"/>
      <c r="C308" s="167"/>
      <c r="D308" s="217" t="s">
        <v>415</v>
      </c>
      <c r="E308" s="142"/>
      <c r="F308" s="143"/>
      <c r="G308" s="142"/>
      <c r="H308" s="144">
        <f t="shared" si="27"/>
        <v>0</v>
      </c>
      <c r="I308" s="209"/>
      <c r="J308" s="145"/>
      <c r="K308" s="145"/>
      <c r="L308" s="209"/>
      <c r="M308" s="146"/>
      <c r="N308" s="146"/>
      <c r="O308" s="147"/>
      <c r="P308" s="25"/>
      <c r="Q308" s="22"/>
    </row>
    <row r="309" spans="1:17" s="40" customFormat="1" ht="47.25" hidden="1">
      <c r="A309" s="582"/>
      <c r="B309" s="607"/>
      <c r="C309" s="167"/>
      <c r="D309" s="217" t="s">
        <v>416</v>
      </c>
      <c r="E309" s="142"/>
      <c r="F309" s="143"/>
      <c r="G309" s="142"/>
      <c r="H309" s="144">
        <f t="shared" si="27"/>
        <v>0</v>
      </c>
      <c r="I309" s="209"/>
      <c r="J309" s="145"/>
      <c r="K309" s="145"/>
      <c r="L309" s="209"/>
      <c r="M309" s="146"/>
      <c r="N309" s="146"/>
      <c r="O309" s="147"/>
      <c r="P309" s="25"/>
      <c r="Q309" s="22"/>
    </row>
    <row r="310" spans="1:17" s="40" customFormat="1" ht="31.5" hidden="1">
      <c r="A310" s="582"/>
      <c r="B310" s="607"/>
      <c r="C310" s="167"/>
      <c r="D310" s="217" t="s">
        <v>417</v>
      </c>
      <c r="E310" s="142"/>
      <c r="F310" s="143"/>
      <c r="G310" s="142"/>
      <c r="H310" s="144">
        <f t="shared" si="27"/>
        <v>0</v>
      </c>
      <c r="I310" s="209"/>
      <c r="J310" s="145"/>
      <c r="K310" s="145"/>
      <c r="L310" s="209"/>
      <c r="M310" s="146"/>
      <c r="N310" s="146"/>
      <c r="O310" s="147"/>
      <c r="P310" s="25"/>
      <c r="Q310" s="22"/>
    </row>
    <row r="311" spans="1:17" s="40" customFormat="1" ht="15.75" hidden="1">
      <c r="A311" s="582"/>
      <c r="B311" s="607"/>
      <c r="C311" s="167"/>
      <c r="D311" s="217" t="s">
        <v>418</v>
      </c>
      <c r="E311" s="142"/>
      <c r="F311" s="143"/>
      <c r="G311" s="142"/>
      <c r="H311" s="144">
        <f t="shared" si="27"/>
        <v>0</v>
      </c>
      <c r="I311" s="209"/>
      <c r="J311" s="145"/>
      <c r="K311" s="145"/>
      <c r="L311" s="209"/>
      <c r="M311" s="146"/>
      <c r="N311" s="146"/>
      <c r="O311" s="147"/>
      <c r="P311" s="25"/>
      <c r="Q311" s="22"/>
    </row>
    <row r="312" spans="1:17" s="40" customFormat="1" ht="18.75" customHeight="1" hidden="1">
      <c r="A312" s="582"/>
      <c r="B312" s="607"/>
      <c r="C312" s="167"/>
      <c r="D312" s="217" t="s">
        <v>419</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81" t="s">
        <v>420</v>
      </c>
      <c r="B318" s="605" t="s">
        <v>1445</v>
      </c>
      <c r="C318" s="195"/>
      <c r="D318" s="136" t="s">
        <v>1456</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82"/>
      <c r="B319" s="607"/>
      <c r="C319" s="135" t="s">
        <v>282</v>
      </c>
      <c r="D319" s="141" t="s">
        <v>421</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82"/>
      <c r="B320" s="607"/>
      <c r="C320" s="135"/>
      <c r="D320" s="141" t="s">
        <v>1876</v>
      </c>
      <c r="E320" s="142"/>
      <c r="F320" s="143"/>
      <c r="G320" s="142"/>
      <c r="H320" s="144">
        <f t="shared" si="34"/>
        <v>0</v>
      </c>
      <c r="I320" s="145"/>
      <c r="J320" s="145"/>
      <c r="K320" s="145"/>
      <c r="L320" s="145"/>
      <c r="M320" s="146"/>
      <c r="N320" s="146"/>
      <c r="O320" s="146"/>
      <c r="P320" s="25"/>
      <c r="Q320" s="22"/>
    </row>
    <row r="321" spans="1:17" s="30" customFormat="1" ht="15.75" hidden="1">
      <c r="A321" s="582"/>
      <c r="B321" s="607"/>
      <c r="C321" s="135" t="s">
        <v>1877</v>
      </c>
      <c r="D321" s="141" t="s">
        <v>1878</v>
      </c>
      <c r="E321" s="172"/>
      <c r="F321" s="143"/>
      <c r="G321" s="172"/>
      <c r="H321" s="144">
        <f t="shared" si="34"/>
        <v>0</v>
      </c>
      <c r="I321" s="145"/>
      <c r="J321" s="145"/>
      <c r="K321" s="145"/>
      <c r="L321" s="145"/>
      <c r="M321" s="182"/>
      <c r="N321" s="182"/>
      <c r="O321" s="182"/>
      <c r="P321" s="25"/>
      <c r="Q321" s="29"/>
    </row>
    <row r="322" spans="1:63" s="28" customFormat="1" ht="15.75" customHeight="1">
      <c r="A322" s="605">
        <v>150101</v>
      </c>
      <c r="B322" s="605" t="s">
        <v>1448</v>
      </c>
      <c r="C322" s="195"/>
      <c r="D322" s="136" t="s">
        <v>1456</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607"/>
      <c r="B323" s="607"/>
      <c r="C323" s="167" t="s">
        <v>1879</v>
      </c>
      <c r="D323" s="217" t="s">
        <v>1594</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607"/>
      <c r="B324" s="607"/>
      <c r="C324" s="167" t="s">
        <v>1595</v>
      </c>
      <c r="D324" s="217" t="s">
        <v>1630</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607"/>
      <c r="B325" s="607"/>
      <c r="C325" s="167" t="s">
        <v>142</v>
      </c>
      <c r="D325" s="217" t="s">
        <v>143</v>
      </c>
      <c r="E325" s="142"/>
      <c r="F325" s="143"/>
      <c r="G325" s="142"/>
      <c r="H325" s="144">
        <f t="shared" si="34"/>
        <v>0</v>
      </c>
      <c r="I325" s="145"/>
      <c r="J325" s="145"/>
      <c r="K325" s="145"/>
      <c r="L325" s="145"/>
      <c r="M325" s="146"/>
      <c r="N325" s="146"/>
      <c r="O325" s="147"/>
      <c r="P325" s="25"/>
      <c r="Q325" s="22"/>
    </row>
    <row r="326" spans="1:17" s="45" customFormat="1" ht="47.25" customHeight="1" hidden="1">
      <c r="A326" s="607"/>
      <c r="B326" s="607"/>
      <c r="C326" s="167" t="s">
        <v>144</v>
      </c>
      <c r="D326" s="208" t="s">
        <v>1556</v>
      </c>
      <c r="E326" s="142"/>
      <c r="F326" s="143"/>
      <c r="G326" s="172"/>
      <c r="H326" s="144">
        <f t="shared" si="34"/>
        <v>0</v>
      </c>
      <c r="I326" s="145"/>
      <c r="J326" s="145"/>
      <c r="K326" s="145"/>
      <c r="L326" s="145"/>
      <c r="M326" s="146"/>
      <c r="N326" s="146"/>
      <c r="O326" s="147"/>
      <c r="P326" s="25"/>
      <c r="Q326" s="22"/>
    </row>
    <row r="327" spans="1:17" s="45" customFormat="1" ht="47.25" customHeight="1" hidden="1">
      <c r="A327" s="607"/>
      <c r="B327" s="607"/>
      <c r="C327" s="167"/>
      <c r="D327" s="208" t="s">
        <v>861</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607"/>
      <c r="B328" s="607"/>
      <c r="C328" s="167"/>
      <c r="D328" s="208" t="s">
        <v>207</v>
      </c>
      <c r="E328" s="142"/>
      <c r="F328" s="143"/>
      <c r="G328" s="142"/>
      <c r="H328" s="144">
        <f t="shared" si="34"/>
        <v>0</v>
      </c>
      <c r="I328" s="145"/>
      <c r="J328" s="145"/>
      <c r="K328" s="145"/>
      <c r="L328" s="145"/>
      <c r="M328" s="146"/>
      <c r="N328" s="146"/>
      <c r="O328" s="147"/>
      <c r="P328" s="25"/>
      <c r="Q328" s="22"/>
    </row>
    <row r="329" spans="1:17" s="45" customFormat="1" ht="63" customHeight="1" hidden="1">
      <c r="A329" s="607"/>
      <c r="B329" s="607"/>
      <c r="C329" s="167"/>
      <c r="D329" s="208" t="s">
        <v>2055</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607"/>
      <c r="B330" s="607"/>
      <c r="C330" s="167"/>
      <c r="D330" s="13" t="s">
        <v>2056</v>
      </c>
      <c r="E330" s="142"/>
      <c r="F330" s="143"/>
      <c r="G330" s="142"/>
      <c r="H330" s="144">
        <f t="shared" si="34"/>
        <v>0</v>
      </c>
      <c r="I330" s="145"/>
      <c r="J330" s="145"/>
      <c r="K330" s="145"/>
      <c r="L330" s="145"/>
      <c r="M330" s="146"/>
      <c r="N330" s="146"/>
      <c r="O330" s="147"/>
      <c r="P330" s="25"/>
      <c r="Q330" s="22"/>
    </row>
    <row r="331" spans="1:17" s="45" customFormat="1" ht="15.75" hidden="1">
      <c r="A331" s="607"/>
      <c r="B331" s="607"/>
      <c r="C331" s="167"/>
      <c r="D331" s="13" t="s">
        <v>561</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605">
        <v>150110</v>
      </c>
      <c r="B343" s="581" t="s">
        <v>1741</v>
      </c>
      <c r="C343" s="195"/>
      <c r="D343" s="136" t="s">
        <v>1456</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607"/>
      <c r="B344" s="582"/>
      <c r="C344" s="135" t="s">
        <v>562</v>
      </c>
      <c r="D344" s="141" t="s">
        <v>563</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607"/>
      <c r="B345" s="582"/>
      <c r="C345" s="218" t="s">
        <v>142</v>
      </c>
      <c r="D345" s="141" t="s">
        <v>1417</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607"/>
      <c r="B346" s="582"/>
      <c r="C346" s="218" t="s">
        <v>1418</v>
      </c>
      <c r="D346" s="141" t="s">
        <v>1809</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607"/>
      <c r="B347" s="582"/>
      <c r="C347" s="167" t="s">
        <v>1810</v>
      </c>
      <c r="D347" s="217" t="s">
        <v>1631</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607"/>
      <c r="B348" s="582"/>
      <c r="C348" s="167" t="s">
        <v>1632</v>
      </c>
      <c r="D348" s="208" t="s">
        <v>1271</v>
      </c>
      <c r="E348" s="142"/>
      <c r="F348" s="143"/>
      <c r="G348" s="172"/>
      <c r="H348" s="144">
        <f t="shared" si="37"/>
        <v>0</v>
      </c>
      <c r="I348" s="145"/>
      <c r="J348" s="145"/>
      <c r="K348" s="145"/>
      <c r="L348" s="219"/>
      <c r="M348" s="146"/>
      <c r="N348" s="146"/>
      <c r="O348" s="147"/>
      <c r="P348" s="25"/>
      <c r="Q348" s="22"/>
    </row>
    <row r="349" spans="1:17" s="45" customFormat="1" ht="32.25">
      <c r="A349" s="607"/>
      <c r="B349" s="582"/>
      <c r="C349" s="167" t="s">
        <v>1632</v>
      </c>
      <c r="D349" s="208" t="s">
        <v>643</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607"/>
      <c r="B350" s="582"/>
      <c r="C350" s="167"/>
      <c r="D350" s="1" t="s">
        <v>1548</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607"/>
      <c r="B351" s="582"/>
      <c r="C351" s="167"/>
      <c r="D351" s="57" t="s">
        <v>1549</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607"/>
      <c r="B352" s="582"/>
      <c r="C352" s="167"/>
      <c r="D352" s="221" t="s">
        <v>1550</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607"/>
      <c r="B353" s="582"/>
      <c r="C353" s="167"/>
      <c r="D353" s="221" t="s">
        <v>1551</v>
      </c>
      <c r="E353" s="142"/>
      <c r="F353" s="143" t="e">
        <f t="shared" si="39"/>
        <v>#DIV/0!</v>
      </c>
      <c r="G353" s="142"/>
      <c r="H353" s="201">
        <f t="shared" si="37"/>
        <v>0</v>
      </c>
      <c r="I353" s="145"/>
      <c r="J353" s="145"/>
      <c r="K353" s="145"/>
      <c r="L353" s="58"/>
      <c r="M353" s="146"/>
      <c r="N353" s="146"/>
      <c r="O353" s="147"/>
      <c r="P353" s="25"/>
    </row>
    <row r="354" spans="1:16" ht="31.5">
      <c r="A354" s="607"/>
      <c r="B354" s="582"/>
      <c r="C354" s="167"/>
      <c r="D354" s="221" t="s">
        <v>69</v>
      </c>
      <c r="E354" s="142">
        <v>110</v>
      </c>
      <c r="F354" s="143">
        <f t="shared" si="39"/>
        <v>1</v>
      </c>
      <c r="G354" s="142">
        <v>110</v>
      </c>
      <c r="H354" s="201">
        <f t="shared" si="37"/>
        <v>4782</v>
      </c>
      <c r="I354" s="145"/>
      <c r="J354" s="145"/>
      <c r="K354" s="145"/>
      <c r="L354" s="58">
        <v>4782</v>
      </c>
      <c r="M354" s="146"/>
      <c r="N354" s="146"/>
      <c r="O354" s="147"/>
      <c r="P354" s="25"/>
    </row>
    <row r="355" spans="1:16" ht="31.5">
      <c r="A355" s="607"/>
      <c r="B355" s="582"/>
      <c r="C355" s="167"/>
      <c r="D355" s="221" t="s">
        <v>70</v>
      </c>
      <c r="E355" s="142">
        <v>110</v>
      </c>
      <c r="F355" s="143">
        <f t="shared" si="39"/>
        <v>1</v>
      </c>
      <c r="G355" s="142">
        <v>110</v>
      </c>
      <c r="H355" s="201">
        <f t="shared" si="37"/>
        <v>2358.6</v>
      </c>
      <c r="I355" s="145"/>
      <c r="J355" s="145"/>
      <c r="K355" s="145"/>
      <c r="L355" s="58">
        <v>2358.6</v>
      </c>
      <c r="M355" s="146"/>
      <c r="N355" s="146"/>
      <c r="O355" s="147"/>
      <c r="P355" s="25"/>
    </row>
    <row r="356" spans="1:16" ht="31.5">
      <c r="A356" s="607"/>
      <c r="B356" s="582"/>
      <c r="C356" s="167"/>
      <c r="D356" s="221" t="s">
        <v>1342</v>
      </c>
      <c r="E356" s="142">
        <v>110</v>
      </c>
      <c r="F356" s="143">
        <f t="shared" si="39"/>
        <v>1</v>
      </c>
      <c r="G356" s="142">
        <v>110</v>
      </c>
      <c r="H356" s="201">
        <f t="shared" si="37"/>
        <v>3347.4</v>
      </c>
      <c r="I356" s="145"/>
      <c r="J356" s="145"/>
      <c r="K356" s="145"/>
      <c r="L356" s="58">
        <v>3347.4</v>
      </c>
      <c r="M356" s="146"/>
      <c r="N356" s="146"/>
      <c r="O356" s="147"/>
      <c r="P356" s="25"/>
    </row>
    <row r="357" spans="1:16" ht="31.5">
      <c r="A357" s="607"/>
      <c r="B357" s="582"/>
      <c r="C357" s="167"/>
      <c r="D357" s="221" t="s">
        <v>1343</v>
      </c>
      <c r="E357" s="142">
        <v>110</v>
      </c>
      <c r="F357" s="143">
        <f t="shared" si="39"/>
        <v>1</v>
      </c>
      <c r="G357" s="142">
        <v>110</v>
      </c>
      <c r="H357" s="201">
        <f t="shared" si="37"/>
        <v>3825.72</v>
      </c>
      <c r="I357" s="145"/>
      <c r="J357" s="145"/>
      <c r="K357" s="145"/>
      <c r="L357" s="58">
        <v>3825.72</v>
      </c>
      <c r="M357" s="146"/>
      <c r="N357" s="146"/>
      <c r="O357" s="147"/>
      <c r="P357" s="25"/>
    </row>
    <row r="358" spans="1:16" ht="31.5">
      <c r="A358" s="607"/>
      <c r="B358" s="582"/>
      <c r="C358" s="167"/>
      <c r="D358" s="221" t="s">
        <v>1344</v>
      </c>
      <c r="E358" s="142">
        <v>110</v>
      </c>
      <c r="F358" s="143">
        <f t="shared" si="39"/>
        <v>1</v>
      </c>
      <c r="G358" s="142">
        <v>110</v>
      </c>
      <c r="H358" s="201">
        <f t="shared" si="37"/>
        <v>1320</v>
      </c>
      <c r="I358" s="145"/>
      <c r="J358" s="145"/>
      <c r="K358" s="145"/>
      <c r="L358" s="58">
        <v>1320</v>
      </c>
      <c r="M358" s="146"/>
      <c r="N358" s="146"/>
      <c r="O358" s="147"/>
      <c r="P358" s="25"/>
    </row>
    <row r="359" spans="1:16" ht="31.5">
      <c r="A359" s="607"/>
      <c r="B359" s="582"/>
      <c r="C359" s="167"/>
      <c r="D359" s="221" t="s">
        <v>208</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607"/>
      <c r="B360" s="582"/>
      <c r="C360" s="167"/>
      <c r="D360" s="221" t="s">
        <v>209</v>
      </c>
      <c r="E360" s="142">
        <v>110</v>
      </c>
      <c r="F360" s="143">
        <f t="shared" si="39"/>
        <v>1</v>
      </c>
      <c r="G360" s="142">
        <v>110</v>
      </c>
      <c r="H360" s="201">
        <f t="shared" si="37"/>
        <v>0</v>
      </c>
      <c r="I360" s="145"/>
      <c r="J360" s="145"/>
      <c r="K360" s="145"/>
      <c r="L360" s="58"/>
      <c r="M360" s="146"/>
      <c r="N360" s="146"/>
      <c r="O360" s="147"/>
      <c r="P360" s="25"/>
    </row>
    <row r="361" spans="1:16" ht="18.75" customHeight="1">
      <c r="A361" s="607"/>
      <c r="B361" s="582"/>
      <c r="C361" s="167"/>
      <c r="D361" s="221" t="s">
        <v>1171</v>
      </c>
      <c r="E361" s="142">
        <v>110</v>
      </c>
      <c r="F361" s="143">
        <f t="shared" si="39"/>
        <v>1</v>
      </c>
      <c r="G361" s="142">
        <v>110</v>
      </c>
      <c r="H361" s="201">
        <f t="shared" si="37"/>
        <v>3347.4</v>
      </c>
      <c r="I361" s="145"/>
      <c r="J361" s="145"/>
      <c r="K361" s="145"/>
      <c r="L361" s="58">
        <v>3347.4</v>
      </c>
      <c r="M361" s="146"/>
      <c r="N361" s="146"/>
      <c r="O361" s="147"/>
      <c r="P361" s="25"/>
    </row>
    <row r="362" spans="1:16" ht="31.5">
      <c r="A362" s="607"/>
      <c r="B362" s="582"/>
      <c r="C362" s="167"/>
      <c r="D362" s="221" t="s">
        <v>1172</v>
      </c>
      <c r="E362" s="142">
        <v>110</v>
      </c>
      <c r="F362" s="143">
        <f t="shared" si="39"/>
        <v>1</v>
      </c>
      <c r="G362" s="142">
        <v>110</v>
      </c>
      <c r="H362" s="201">
        <f t="shared" si="37"/>
        <v>3347.4</v>
      </c>
      <c r="I362" s="145"/>
      <c r="J362" s="145"/>
      <c r="K362" s="145"/>
      <c r="L362" s="58">
        <v>3347.4</v>
      </c>
      <c r="M362" s="146"/>
      <c r="N362" s="146"/>
      <c r="O362" s="147"/>
      <c r="P362" s="25"/>
    </row>
    <row r="363" spans="1:16" ht="31.5">
      <c r="A363" s="607"/>
      <c r="B363" s="582"/>
      <c r="C363" s="167"/>
      <c r="D363" s="221" t="s">
        <v>2068</v>
      </c>
      <c r="E363" s="142">
        <v>110</v>
      </c>
      <c r="F363" s="143">
        <f t="shared" si="39"/>
        <v>1</v>
      </c>
      <c r="G363" s="142">
        <v>110</v>
      </c>
      <c r="H363" s="201">
        <f t="shared" si="37"/>
        <v>4782</v>
      </c>
      <c r="I363" s="145"/>
      <c r="J363" s="145"/>
      <c r="K363" s="145"/>
      <c r="L363" s="58">
        <v>4782</v>
      </c>
      <c r="M363" s="146"/>
      <c r="N363" s="146"/>
      <c r="O363" s="147"/>
      <c r="P363" s="25"/>
    </row>
    <row r="364" spans="1:16" ht="31.5">
      <c r="A364" s="607"/>
      <c r="B364" s="582"/>
      <c r="C364" s="167"/>
      <c r="D364" s="221" t="s">
        <v>1249</v>
      </c>
      <c r="E364" s="142">
        <v>110</v>
      </c>
      <c r="F364" s="143">
        <f t="shared" si="39"/>
        <v>1</v>
      </c>
      <c r="G364" s="142">
        <v>110</v>
      </c>
      <c r="H364" s="201">
        <f t="shared" si="37"/>
        <v>1320</v>
      </c>
      <c r="I364" s="145"/>
      <c r="J364" s="145"/>
      <c r="K364" s="145"/>
      <c r="L364" s="58">
        <v>1320</v>
      </c>
      <c r="M364" s="146"/>
      <c r="N364" s="146"/>
      <c r="O364" s="147"/>
      <c r="P364" s="25"/>
    </row>
    <row r="365" spans="1:16" ht="15.75">
      <c r="A365" s="607"/>
      <c r="B365" s="582"/>
      <c r="C365" s="167"/>
      <c r="D365" s="221" t="s">
        <v>203</v>
      </c>
      <c r="E365" s="142">
        <v>110</v>
      </c>
      <c r="F365" s="143">
        <f t="shared" si="39"/>
        <v>1</v>
      </c>
      <c r="G365" s="142">
        <v>110</v>
      </c>
      <c r="H365" s="201">
        <f t="shared" si="37"/>
        <v>4782</v>
      </c>
      <c r="I365" s="145"/>
      <c r="J365" s="145"/>
      <c r="K365" s="145"/>
      <c r="L365" s="58">
        <v>4782</v>
      </c>
      <c r="M365" s="146"/>
      <c r="N365" s="146"/>
      <c r="O365" s="147"/>
      <c r="P365" s="25"/>
    </row>
    <row r="366" spans="1:16" ht="31.5">
      <c r="A366" s="607"/>
      <c r="B366" s="582"/>
      <c r="C366" s="167"/>
      <c r="D366" s="221" t="s">
        <v>204</v>
      </c>
      <c r="E366" s="142">
        <v>110</v>
      </c>
      <c r="F366" s="143">
        <f t="shared" si="39"/>
        <v>1</v>
      </c>
      <c r="G366" s="142">
        <v>110</v>
      </c>
      <c r="H366" s="201">
        <f t="shared" si="37"/>
        <v>3347.4</v>
      </c>
      <c r="I366" s="145"/>
      <c r="J366" s="145"/>
      <c r="K366" s="145"/>
      <c r="L366" s="58">
        <v>3347.4</v>
      </c>
      <c r="M366" s="146"/>
      <c r="N366" s="146"/>
      <c r="O366" s="147"/>
      <c r="P366" s="25"/>
    </row>
    <row r="367" spans="1:16" ht="31.5">
      <c r="A367" s="607"/>
      <c r="B367" s="582"/>
      <c r="C367" s="167"/>
      <c r="D367" s="221" t="s">
        <v>205</v>
      </c>
      <c r="E367" s="142">
        <v>110</v>
      </c>
      <c r="F367" s="143">
        <f t="shared" si="39"/>
        <v>1</v>
      </c>
      <c r="G367" s="142">
        <v>110</v>
      </c>
      <c r="H367" s="201">
        <f t="shared" si="37"/>
        <v>2358.6</v>
      </c>
      <c r="I367" s="145"/>
      <c r="J367" s="145"/>
      <c r="K367" s="145"/>
      <c r="L367" s="58">
        <v>2358.6</v>
      </c>
      <c r="M367" s="146"/>
      <c r="N367" s="146"/>
      <c r="O367" s="147"/>
      <c r="P367" s="25"/>
    </row>
    <row r="368" spans="1:16" ht="31.5">
      <c r="A368" s="607"/>
      <c r="B368" s="582"/>
      <c r="C368" s="167"/>
      <c r="D368" s="221" t="s">
        <v>1633</v>
      </c>
      <c r="E368" s="142">
        <v>130</v>
      </c>
      <c r="F368" s="143">
        <f t="shared" si="39"/>
        <v>1</v>
      </c>
      <c r="G368" s="142">
        <v>130</v>
      </c>
      <c r="H368" s="201">
        <f t="shared" si="37"/>
        <v>4782</v>
      </c>
      <c r="I368" s="145"/>
      <c r="J368" s="145"/>
      <c r="K368" s="145"/>
      <c r="L368" s="58">
        <v>4782</v>
      </c>
      <c r="M368" s="146"/>
      <c r="N368" s="146"/>
      <c r="O368" s="147"/>
      <c r="P368" s="25"/>
    </row>
    <row r="369" spans="1:16" ht="15.75" hidden="1">
      <c r="A369" s="607"/>
      <c r="B369" s="582"/>
      <c r="C369" s="167"/>
      <c r="D369" s="141" t="s">
        <v>1634</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605">
        <v>150112</v>
      </c>
      <c r="B371" s="581" t="s">
        <v>1635</v>
      </c>
      <c r="C371" s="195"/>
      <c r="D371" s="136" t="s">
        <v>1456</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607"/>
      <c r="B372" s="582"/>
      <c r="C372" s="222" t="s">
        <v>1636</v>
      </c>
      <c r="D372" s="141" t="s">
        <v>210</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607"/>
      <c r="B373" s="582"/>
      <c r="C373" s="135" t="s">
        <v>211</v>
      </c>
      <c r="D373" s="141" t="s">
        <v>212</v>
      </c>
      <c r="E373" s="142">
        <v>20</v>
      </c>
      <c r="F373" s="143">
        <f>100%-((E373-G373)/E373)</f>
        <v>1</v>
      </c>
      <c r="G373" s="142">
        <v>20</v>
      </c>
      <c r="H373" s="144">
        <f t="shared" si="40"/>
        <v>0</v>
      </c>
      <c r="I373" s="145"/>
      <c r="J373" s="145"/>
      <c r="K373" s="145"/>
      <c r="L373" s="145"/>
      <c r="M373" s="146"/>
      <c r="N373" s="146"/>
      <c r="O373" s="147"/>
      <c r="P373" s="25"/>
    </row>
    <row r="374" spans="1:16" ht="31.5" hidden="1">
      <c r="A374" s="607"/>
      <c r="B374" s="582"/>
      <c r="C374" s="135" t="s">
        <v>593</v>
      </c>
      <c r="D374" s="141" t="s">
        <v>594</v>
      </c>
      <c r="E374" s="142">
        <v>30</v>
      </c>
      <c r="F374" s="143">
        <f>100%-((E374-G374)/E374)</f>
        <v>1</v>
      </c>
      <c r="G374" s="142">
        <v>30</v>
      </c>
      <c r="H374" s="144">
        <f t="shared" si="40"/>
        <v>0</v>
      </c>
      <c r="I374" s="145"/>
      <c r="J374" s="145"/>
      <c r="K374" s="145"/>
      <c r="L374" s="145"/>
      <c r="M374" s="146"/>
      <c r="N374" s="146"/>
      <c r="O374" s="147"/>
      <c r="P374" s="25"/>
    </row>
    <row r="375" spans="1:16" ht="31.5" hidden="1">
      <c r="A375" s="607"/>
      <c r="B375" s="582"/>
      <c r="C375" s="135" t="s">
        <v>595</v>
      </c>
      <c r="D375" s="141" t="s">
        <v>1909</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605">
        <v>180409</v>
      </c>
      <c r="B376" s="605" t="s">
        <v>753</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607"/>
      <c r="B377" s="607"/>
      <c r="C377" s="135" t="s">
        <v>1910</v>
      </c>
      <c r="D377" s="225" t="s">
        <v>333</v>
      </c>
      <c r="E377" s="142"/>
      <c r="F377" s="143"/>
      <c r="G377" s="172"/>
      <c r="H377" s="144">
        <f t="shared" si="40"/>
        <v>0</v>
      </c>
      <c r="I377" s="163"/>
      <c r="J377" s="163"/>
      <c r="K377" s="226"/>
      <c r="L377" s="163"/>
      <c r="M377" s="182"/>
      <c r="N377" s="182"/>
      <c r="O377" s="182"/>
      <c r="P377" s="25"/>
    </row>
    <row r="378" spans="1:17" s="30" customFormat="1" ht="15.75" hidden="1">
      <c r="A378" s="607"/>
      <c r="B378" s="607"/>
      <c r="C378" s="227"/>
      <c r="D378" s="228" t="s">
        <v>334</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607"/>
      <c r="B379" s="607"/>
      <c r="C379" s="167" t="s">
        <v>335</v>
      </c>
      <c r="D379" s="230" t="s">
        <v>1567</v>
      </c>
      <c r="E379" s="172"/>
      <c r="F379" s="143"/>
      <c r="G379" s="172"/>
      <c r="H379" s="144">
        <f t="shared" si="40"/>
        <v>0</v>
      </c>
      <c r="I379" s="145"/>
      <c r="J379" s="145"/>
      <c r="K379" s="145"/>
      <c r="L379" s="219"/>
      <c r="M379" s="146"/>
      <c r="N379" s="146"/>
      <c r="O379" s="147"/>
      <c r="P379" s="25"/>
    </row>
    <row r="380" spans="1:16" ht="32.25" hidden="1">
      <c r="A380" s="607"/>
      <c r="B380" s="607"/>
      <c r="C380" s="167"/>
      <c r="D380" s="230" t="s">
        <v>1568</v>
      </c>
      <c r="E380" s="172"/>
      <c r="F380" s="143"/>
      <c r="G380" s="172"/>
      <c r="H380" s="144">
        <f t="shared" si="40"/>
        <v>0</v>
      </c>
      <c r="I380" s="145"/>
      <c r="J380" s="145"/>
      <c r="K380" s="145"/>
      <c r="L380" s="219"/>
      <c r="M380" s="146"/>
      <c r="N380" s="146"/>
      <c r="O380" s="147"/>
      <c r="P380" s="25"/>
    </row>
    <row r="381" spans="1:16" ht="32.25" hidden="1">
      <c r="A381" s="607"/>
      <c r="B381" s="607"/>
      <c r="C381" s="167"/>
      <c r="D381" s="230" t="s">
        <v>1569</v>
      </c>
      <c r="E381" s="172"/>
      <c r="F381" s="143"/>
      <c r="G381" s="172"/>
      <c r="H381" s="144">
        <f t="shared" si="40"/>
        <v>0</v>
      </c>
      <c r="I381" s="145"/>
      <c r="J381" s="145"/>
      <c r="K381" s="145"/>
      <c r="L381" s="219"/>
      <c r="M381" s="146"/>
      <c r="N381" s="146"/>
      <c r="O381" s="147"/>
      <c r="P381" s="25"/>
    </row>
    <row r="382" spans="1:16" ht="32.25" hidden="1">
      <c r="A382" s="607"/>
      <c r="B382" s="607"/>
      <c r="C382" s="167"/>
      <c r="D382" s="230" t="s">
        <v>1920</v>
      </c>
      <c r="E382" s="172"/>
      <c r="F382" s="143"/>
      <c r="G382" s="172"/>
      <c r="H382" s="144">
        <f t="shared" si="40"/>
        <v>0</v>
      </c>
      <c r="I382" s="145"/>
      <c r="J382" s="145"/>
      <c r="K382" s="145"/>
      <c r="L382" s="219"/>
      <c r="M382" s="146"/>
      <c r="N382" s="146"/>
      <c r="O382" s="147"/>
      <c r="P382" s="25"/>
    </row>
    <row r="383" spans="1:16" ht="48" hidden="1">
      <c r="A383" s="607"/>
      <c r="B383" s="607"/>
      <c r="C383" s="167" t="s">
        <v>1921</v>
      </c>
      <c r="D383" s="228" t="s">
        <v>1922</v>
      </c>
      <c r="E383" s="172"/>
      <c r="F383" s="143"/>
      <c r="G383" s="172"/>
      <c r="H383" s="169">
        <f t="shared" si="40"/>
        <v>0</v>
      </c>
      <c r="I383" s="163"/>
      <c r="J383" s="163"/>
      <c r="K383" s="163"/>
      <c r="L383" s="231"/>
      <c r="M383" s="182"/>
      <c r="N383" s="182"/>
      <c r="O383" s="183"/>
      <c r="P383" s="25"/>
    </row>
    <row r="384" spans="1:16" ht="15.75" hidden="1">
      <c r="A384" s="607"/>
      <c r="B384" s="607"/>
      <c r="C384" s="197"/>
      <c r="D384" s="228" t="s">
        <v>1923</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607"/>
      <c r="B385" s="607"/>
      <c r="C385" s="197"/>
      <c r="D385" s="208" t="s">
        <v>1269</v>
      </c>
      <c r="E385" s="142"/>
      <c r="F385" s="143"/>
      <c r="G385" s="142"/>
      <c r="H385" s="169">
        <f t="shared" si="40"/>
        <v>0</v>
      </c>
      <c r="I385" s="145"/>
      <c r="J385" s="145"/>
      <c r="K385" s="145"/>
      <c r="L385" s="219"/>
      <c r="M385" s="146"/>
      <c r="N385" s="146"/>
      <c r="O385" s="147"/>
      <c r="P385" s="25"/>
      <c r="Q385" s="22"/>
    </row>
    <row r="386" spans="1:17" s="30" customFormat="1" ht="18.75" hidden="1">
      <c r="A386" s="607"/>
      <c r="B386" s="607"/>
      <c r="C386" s="614" t="s">
        <v>1270</v>
      </c>
      <c r="D386" s="225" t="s">
        <v>1583</v>
      </c>
      <c r="E386" s="59"/>
      <c r="F386" s="59"/>
      <c r="G386" s="59"/>
      <c r="H386" s="169">
        <f t="shared" si="40"/>
        <v>0</v>
      </c>
      <c r="I386" s="163"/>
      <c r="J386" s="163"/>
      <c r="K386" s="163"/>
      <c r="L386" s="231">
        <f>L387+L388+L389</f>
        <v>0</v>
      </c>
      <c r="M386" s="182"/>
      <c r="N386" s="182"/>
      <c r="O386" s="183"/>
      <c r="P386" s="47"/>
      <c r="Q386" s="29"/>
    </row>
    <row r="387" spans="1:17" s="30" customFormat="1" ht="31.5" hidden="1">
      <c r="A387" s="567"/>
      <c r="B387" s="567"/>
      <c r="C387" s="615"/>
      <c r="D387" s="232" t="s">
        <v>297</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567"/>
      <c r="B388" s="567"/>
      <c r="C388" s="616"/>
      <c r="D388" s="232" t="s">
        <v>298</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566"/>
      <c r="B389" s="566"/>
      <c r="C389" s="205"/>
      <c r="D389" s="232" t="s">
        <v>555</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1643</v>
      </c>
      <c r="B391" s="584" t="s">
        <v>1950</v>
      </c>
      <c r="C391" s="584"/>
      <c r="D391" s="584"/>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52" t="s">
        <v>1756</v>
      </c>
      <c r="B392" s="610" t="s">
        <v>966</v>
      </c>
      <c r="C392" s="195"/>
      <c r="D392" s="136" t="s">
        <v>1456</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609"/>
      <c r="B393" s="611"/>
      <c r="C393" s="135" t="s">
        <v>1197</v>
      </c>
      <c r="D393" s="141" t="s">
        <v>1198</v>
      </c>
      <c r="E393" s="142"/>
      <c r="F393" s="143"/>
      <c r="G393" s="172"/>
      <c r="H393" s="144">
        <f t="shared" si="45"/>
        <v>0</v>
      </c>
      <c r="I393" s="163"/>
      <c r="J393" s="163"/>
      <c r="K393" s="163"/>
      <c r="L393" s="145"/>
      <c r="M393" s="146"/>
      <c r="N393" s="182"/>
      <c r="O393" s="182"/>
      <c r="P393" s="25"/>
      <c r="Q393" s="22"/>
    </row>
    <row r="394" spans="1:17" s="30" customFormat="1" ht="18.75" customHeight="1">
      <c r="A394" s="234" t="s">
        <v>1451</v>
      </c>
      <c r="B394" s="235" t="s">
        <v>1951</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587" t="s">
        <v>1257</v>
      </c>
      <c r="B395" s="605" t="s">
        <v>1952</v>
      </c>
      <c r="C395" s="195"/>
      <c r="D395" s="216" t="s">
        <v>1456</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588"/>
      <c r="B396" s="607"/>
      <c r="C396" s="238" t="s">
        <v>1953</v>
      </c>
      <c r="D396" s="208" t="s">
        <v>868</v>
      </c>
      <c r="E396" s="142"/>
      <c r="F396" s="143"/>
      <c r="G396" s="142"/>
      <c r="H396" s="144">
        <f t="shared" si="45"/>
        <v>0</v>
      </c>
      <c r="I396" s="145"/>
      <c r="J396" s="145"/>
      <c r="K396" s="145"/>
      <c r="L396" s="145"/>
      <c r="M396" s="146"/>
      <c r="N396" s="146"/>
      <c r="O396" s="239"/>
      <c r="P396" s="25"/>
      <c r="Q396" s="22"/>
    </row>
    <row r="397" spans="1:17" s="45" customFormat="1" ht="47.25" customHeight="1" hidden="1">
      <c r="A397" s="588"/>
      <c r="B397" s="607"/>
      <c r="C397" s="135" t="s">
        <v>869</v>
      </c>
      <c r="D397" s="217" t="s">
        <v>870</v>
      </c>
      <c r="E397" s="142"/>
      <c r="F397" s="143"/>
      <c r="G397" s="142"/>
      <c r="H397" s="144">
        <f t="shared" si="45"/>
        <v>0</v>
      </c>
      <c r="I397" s="145"/>
      <c r="J397" s="145"/>
      <c r="K397" s="145"/>
      <c r="L397" s="145"/>
      <c r="M397" s="146"/>
      <c r="N397" s="146"/>
      <c r="O397" s="239"/>
      <c r="P397" s="25"/>
      <c r="Q397" s="22"/>
    </row>
    <row r="398" spans="1:17" s="45" customFormat="1" ht="47.25">
      <c r="A398" s="588"/>
      <c r="B398" s="607"/>
      <c r="C398" s="167" t="s">
        <v>871</v>
      </c>
      <c r="D398" s="217" t="s">
        <v>872</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588"/>
      <c r="B399" s="607"/>
      <c r="C399" s="167" t="s">
        <v>873</v>
      </c>
      <c r="D399" s="217" t="s">
        <v>1986</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588"/>
      <c r="B400" s="607"/>
      <c r="C400" s="167"/>
      <c r="D400" s="240" t="s">
        <v>683</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588"/>
      <c r="B401" s="607"/>
      <c r="C401" s="167"/>
      <c r="D401" s="240" t="s">
        <v>684</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588"/>
      <c r="B402" s="607"/>
      <c r="C402" s="167"/>
      <c r="D402" s="240" t="s">
        <v>685</v>
      </c>
      <c r="E402" s="142">
        <v>14.93</v>
      </c>
      <c r="F402" s="143">
        <f>100%-((E402-G402)/E402)</f>
        <v>1</v>
      </c>
      <c r="G402" s="142">
        <v>14.93</v>
      </c>
      <c r="H402" s="144">
        <f t="shared" si="45"/>
        <v>0</v>
      </c>
      <c r="I402" s="145"/>
      <c r="J402" s="145"/>
      <c r="K402" s="145"/>
      <c r="L402" s="145"/>
      <c r="M402" s="146"/>
      <c r="N402" s="146"/>
      <c r="O402" s="239"/>
      <c r="P402" s="25"/>
    </row>
    <row r="403" spans="1:16" ht="47.25">
      <c r="A403" s="588"/>
      <c r="B403" s="607"/>
      <c r="C403" s="167" t="s">
        <v>686</v>
      </c>
      <c r="D403" s="217" t="s">
        <v>687</v>
      </c>
      <c r="E403" s="142">
        <v>893</v>
      </c>
      <c r="F403" s="143">
        <f>100%-((E403-G403)/E403)</f>
        <v>1</v>
      </c>
      <c r="G403" s="142">
        <v>893</v>
      </c>
      <c r="H403" s="144">
        <f t="shared" si="45"/>
        <v>175328.6</v>
      </c>
      <c r="I403" s="145"/>
      <c r="J403" s="145"/>
      <c r="K403" s="145"/>
      <c r="L403" s="145">
        <v>175328.6</v>
      </c>
      <c r="M403" s="146"/>
      <c r="N403" s="146"/>
      <c r="O403" s="239"/>
      <c r="P403" s="25"/>
    </row>
    <row r="404" spans="1:16" ht="31.5">
      <c r="A404" s="588"/>
      <c r="B404" s="607"/>
      <c r="C404" s="167" t="s">
        <v>688</v>
      </c>
      <c r="D404" s="217" t="s">
        <v>689</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588"/>
      <c r="B405" s="607"/>
      <c r="C405" s="167"/>
      <c r="D405" s="78" t="s">
        <v>315</v>
      </c>
      <c r="E405" s="142"/>
      <c r="F405" s="143"/>
      <c r="G405" s="142"/>
      <c r="H405" s="144">
        <f t="shared" si="45"/>
        <v>120000</v>
      </c>
      <c r="I405" s="145"/>
      <c r="J405" s="145"/>
      <c r="K405" s="145"/>
      <c r="L405" s="241">
        <v>120000</v>
      </c>
      <c r="M405" s="146"/>
      <c r="N405" s="146"/>
      <c r="O405" s="239"/>
      <c r="P405" s="25"/>
    </row>
    <row r="406" spans="1:16" ht="31.5">
      <c r="A406" s="588"/>
      <c r="B406" s="607"/>
      <c r="C406" s="167"/>
      <c r="D406" s="242" t="s">
        <v>1090</v>
      </c>
      <c r="E406" s="142"/>
      <c r="F406" s="143"/>
      <c r="G406" s="142"/>
      <c r="H406" s="144">
        <f t="shared" si="45"/>
        <v>2500000</v>
      </c>
      <c r="I406" s="145"/>
      <c r="J406" s="145"/>
      <c r="K406" s="145"/>
      <c r="L406" s="243">
        <f>SUM(L407:L413)</f>
        <v>2500000</v>
      </c>
      <c r="M406" s="146"/>
      <c r="N406" s="146"/>
      <c r="O406" s="239"/>
      <c r="P406" s="25"/>
    </row>
    <row r="407" spans="1:17" s="64" customFormat="1" ht="15.75">
      <c r="A407" s="588"/>
      <c r="B407" s="607"/>
      <c r="C407" s="244"/>
      <c r="D407" s="349" t="s">
        <v>1091</v>
      </c>
      <c r="E407" s="199"/>
      <c r="F407" s="200"/>
      <c r="G407" s="199"/>
      <c r="H407" s="201">
        <f t="shared" si="45"/>
        <v>1500000</v>
      </c>
      <c r="I407" s="202"/>
      <c r="J407" s="202"/>
      <c r="K407" s="202"/>
      <c r="L407" s="245">
        <v>1500000</v>
      </c>
      <c r="M407" s="203"/>
      <c r="N407" s="203"/>
      <c r="O407" s="246"/>
      <c r="P407" s="62"/>
      <c r="Q407" s="63"/>
    </row>
    <row r="408" spans="1:17" s="64" customFormat="1" ht="15.75">
      <c r="A408" s="588"/>
      <c r="B408" s="607"/>
      <c r="C408" s="244"/>
      <c r="D408" s="349" t="s">
        <v>1092</v>
      </c>
      <c r="E408" s="199"/>
      <c r="F408" s="200"/>
      <c r="G408" s="199"/>
      <c r="H408" s="201">
        <f t="shared" si="45"/>
        <v>150000</v>
      </c>
      <c r="I408" s="202"/>
      <c r="J408" s="202"/>
      <c r="K408" s="202"/>
      <c r="L408" s="245">
        <v>150000</v>
      </c>
      <c r="M408" s="203"/>
      <c r="N408" s="203"/>
      <c r="O408" s="246"/>
      <c r="P408" s="62"/>
      <c r="Q408" s="63"/>
    </row>
    <row r="409" spans="1:17" s="64" customFormat="1" ht="15.75">
      <c r="A409" s="588"/>
      <c r="B409" s="607"/>
      <c r="C409" s="244"/>
      <c r="D409" s="349" t="s">
        <v>1093</v>
      </c>
      <c r="E409" s="199"/>
      <c r="F409" s="200"/>
      <c r="G409" s="199"/>
      <c r="H409" s="201">
        <f t="shared" si="45"/>
        <v>100000</v>
      </c>
      <c r="I409" s="202"/>
      <c r="J409" s="202"/>
      <c r="K409" s="202"/>
      <c r="L409" s="245">
        <v>100000</v>
      </c>
      <c r="M409" s="203"/>
      <c r="N409" s="203"/>
      <c r="O409" s="246"/>
      <c r="P409" s="62"/>
      <c r="Q409" s="63"/>
    </row>
    <row r="410" spans="1:17" s="64" customFormat="1" ht="15.75">
      <c r="A410" s="588"/>
      <c r="B410" s="607"/>
      <c r="C410" s="244"/>
      <c r="D410" s="349" t="s">
        <v>1094</v>
      </c>
      <c r="E410" s="199"/>
      <c r="F410" s="200"/>
      <c r="G410" s="199"/>
      <c r="H410" s="201">
        <f t="shared" si="45"/>
        <v>220000</v>
      </c>
      <c r="I410" s="202"/>
      <c r="J410" s="202"/>
      <c r="K410" s="202"/>
      <c r="L410" s="245">
        <v>220000</v>
      </c>
      <c r="M410" s="203"/>
      <c r="N410" s="203"/>
      <c r="O410" s="246"/>
      <c r="P410" s="62"/>
      <c r="Q410" s="63"/>
    </row>
    <row r="411" spans="1:17" s="64" customFormat="1" ht="15.75">
      <c r="A411" s="588"/>
      <c r="B411" s="607"/>
      <c r="C411" s="244"/>
      <c r="D411" s="349" t="s">
        <v>1982</v>
      </c>
      <c r="E411" s="199"/>
      <c r="F411" s="200"/>
      <c r="G411" s="199"/>
      <c r="H411" s="201">
        <f t="shared" si="45"/>
        <v>230000</v>
      </c>
      <c r="I411" s="202"/>
      <c r="J411" s="202"/>
      <c r="K411" s="202"/>
      <c r="L411" s="245">
        <v>230000</v>
      </c>
      <c r="M411" s="203"/>
      <c r="N411" s="203"/>
      <c r="O411" s="246"/>
      <c r="P411" s="62"/>
      <c r="Q411" s="63"/>
    </row>
    <row r="412" spans="1:17" s="64" customFormat="1" ht="15.75">
      <c r="A412" s="588"/>
      <c r="B412" s="607"/>
      <c r="C412" s="244"/>
      <c r="D412" s="349" t="s">
        <v>1983</v>
      </c>
      <c r="E412" s="199"/>
      <c r="F412" s="200"/>
      <c r="G412" s="199"/>
      <c r="H412" s="201">
        <f t="shared" si="45"/>
        <v>200000</v>
      </c>
      <c r="I412" s="202"/>
      <c r="J412" s="202"/>
      <c r="K412" s="202"/>
      <c r="L412" s="245">
        <v>200000</v>
      </c>
      <c r="M412" s="203"/>
      <c r="N412" s="203"/>
      <c r="O412" s="246"/>
      <c r="P412" s="62"/>
      <c r="Q412" s="63"/>
    </row>
    <row r="413" spans="1:17" s="64" customFormat="1" ht="15.75">
      <c r="A413" s="588"/>
      <c r="B413" s="607"/>
      <c r="C413" s="244"/>
      <c r="D413" s="349" t="s">
        <v>1984</v>
      </c>
      <c r="E413" s="199"/>
      <c r="F413" s="200"/>
      <c r="G413" s="199"/>
      <c r="H413" s="201">
        <f t="shared" si="45"/>
        <v>100000</v>
      </c>
      <c r="I413" s="202"/>
      <c r="J413" s="202"/>
      <c r="K413" s="202"/>
      <c r="L413" s="245">
        <v>100000</v>
      </c>
      <c r="M413" s="203"/>
      <c r="N413" s="203"/>
      <c r="O413" s="246"/>
      <c r="P413" s="62"/>
      <c r="Q413" s="63"/>
    </row>
    <row r="414" spans="1:16" ht="47.25">
      <c r="A414" s="588"/>
      <c r="B414" s="607"/>
      <c r="C414" s="167"/>
      <c r="D414" s="13" t="s">
        <v>299</v>
      </c>
      <c r="E414" s="142"/>
      <c r="F414" s="143"/>
      <c r="G414" s="142"/>
      <c r="H414" s="144">
        <f t="shared" si="45"/>
        <v>60800</v>
      </c>
      <c r="I414" s="145"/>
      <c r="J414" s="145"/>
      <c r="K414" s="145"/>
      <c r="L414" s="49">
        <f>SUM(L415:L420)</f>
        <v>60800</v>
      </c>
      <c r="M414" s="146"/>
      <c r="N414" s="146"/>
      <c r="O414" s="239"/>
      <c r="P414" s="25"/>
    </row>
    <row r="415" spans="1:17" s="64" customFormat="1" ht="15.75">
      <c r="A415" s="588"/>
      <c r="B415" s="607"/>
      <c r="C415" s="244"/>
      <c r="D415" s="350" t="s">
        <v>300</v>
      </c>
      <c r="E415" s="199"/>
      <c r="F415" s="200"/>
      <c r="G415" s="199"/>
      <c r="H415" s="201">
        <f t="shared" si="45"/>
        <v>14400</v>
      </c>
      <c r="I415" s="202"/>
      <c r="J415" s="202"/>
      <c r="K415" s="202"/>
      <c r="L415" s="245">
        <v>14400</v>
      </c>
      <c r="M415" s="203"/>
      <c r="N415" s="203"/>
      <c r="O415" s="246"/>
      <c r="P415" s="62"/>
      <c r="Q415" s="63"/>
    </row>
    <row r="416" spans="1:17" s="64" customFormat="1" ht="31.5">
      <c r="A416" s="588"/>
      <c r="B416" s="607"/>
      <c r="C416" s="244"/>
      <c r="D416" s="346" t="s">
        <v>1985</v>
      </c>
      <c r="E416" s="199"/>
      <c r="F416" s="200"/>
      <c r="G416" s="199"/>
      <c r="H416" s="201">
        <f t="shared" si="45"/>
        <v>12000</v>
      </c>
      <c r="I416" s="202"/>
      <c r="J416" s="202"/>
      <c r="K416" s="202"/>
      <c r="L416" s="245">
        <v>12000</v>
      </c>
      <c r="M416" s="203"/>
      <c r="N416" s="203"/>
      <c r="O416" s="246"/>
      <c r="P416" s="62"/>
      <c r="Q416" s="63"/>
    </row>
    <row r="417" spans="1:17" s="64" customFormat="1" ht="31.5">
      <c r="A417" s="588"/>
      <c r="B417" s="607"/>
      <c r="C417" s="244"/>
      <c r="D417" s="346" t="s">
        <v>867</v>
      </c>
      <c r="E417" s="199"/>
      <c r="F417" s="200"/>
      <c r="G417" s="199"/>
      <c r="H417" s="201">
        <f t="shared" si="45"/>
        <v>12000</v>
      </c>
      <c r="I417" s="202"/>
      <c r="J417" s="202"/>
      <c r="K417" s="202"/>
      <c r="L417" s="245">
        <v>12000</v>
      </c>
      <c r="M417" s="203"/>
      <c r="N417" s="203"/>
      <c r="O417" s="246"/>
      <c r="P417" s="62"/>
      <c r="Q417" s="63"/>
    </row>
    <row r="418" spans="1:17" s="64" customFormat="1" ht="15.75">
      <c r="A418" s="588"/>
      <c r="B418" s="607"/>
      <c r="C418" s="244"/>
      <c r="D418" s="346" t="s">
        <v>301</v>
      </c>
      <c r="E418" s="199"/>
      <c r="F418" s="200"/>
      <c r="G418" s="199"/>
      <c r="H418" s="201">
        <f t="shared" si="45"/>
        <v>4000</v>
      </c>
      <c r="I418" s="202"/>
      <c r="J418" s="202"/>
      <c r="K418" s="202"/>
      <c r="L418" s="245">
        <v>4000</v>
      </c>
      <c r="M418" s="203"/>
      <c r="N418" s="203"/>
      <c r="O418" s="246"/>
      <c r="P418" s="62"/>
      <c r="Q418" s="63"/>
    </row>
    <row r="419" spans="1:17" s="64" customFormat="1" ht="47.25">
      <c r="A419" s="588"/>
      <c r="B419" s="607"/>
      <c r="C419" s="244"/>
      <c r="D419" s="346" t="s">
        <v>973</v>
      </c>
      <c r="E419" s="199"/>
      <c r="F419" s="200"/>
      <c r="G419" s="199"/>
      <c r="H419" s="201">
        <f t="shared" si="45"/>
        <v>10900</v>
      </c>
      <c r="I419" s="202"/>
      <c r="J419" s="202"/>
      <c r="K419" s="202"/>
      <c r="L419" s="245">
        <v>10900</v>
      </c>
      <c r="M419" s="203"/>
      <c r="N419" s="203"/>
      <c r="O419" s="246"/>
      <c r="P419" s="62"/>
      <c r="Q419" s="63"/>
    </row>
    <row r="420" spans="1:17" s="64" customFormat="1" ht="15.75">
      <c r="A420" s="588"/>
      <c r="B420" s="607"/>
      <c r="C420" s="244"/>
      <c r="D420" s="346" t="s">
        <v>302</v>
      </c>
      <c r="E420" s="199"/>
      <c r="F420" s="200"/>
      <c r="G420" s="199"/>
      <c r="H420" s="201">
        <f t="shared" si="45"/>
        <v>7500</v>
      </c>
      <c r="I420" s="202"/>
      <c r="J420" s="202"/>
      <c r="K420" s="202"/>
      <c r="L420" s="245">
        <v>7500</v>
      </c>
      <c r="M420" s="203"/>
      <c r="N420" s="203"/>
      <c r="O420" s="246"/>
      <c r="P420" s="62"/>
      <c r="Q420" s="63"/>
    </row>
    <row r="421" spans="1:17" s="45" customFormat="1" ht="47.25">
      <c r="A421" s="588"/>
      <c r="B421" s="607"/>
      <c r="C421" s="167"/>
      <c r="D421" s="13" t="s">
        <v>974</v>
      </c>
      <c r="E421" s="142"/>
      <c r="F421" s="143"/>
      <c r="G421" s="142"/>
      <c r="H421" s="144">
        <f t="shared" si="45"/>
        <v>100000</v>
      </c>
      <c r="I421" s="145"/>
      <c r="J421" s="145"/>
      <c r="K421" s="145"/>
      <c r="L421" s="247">
        <v>100000</v>
      </c>
      <c r="M421" s="146"/>
      <c r="N421" s="146"/>
      <c r="O421" s="239"/>
      <c r="P421" s="25"/>
      <c r="Q421" s="22"/>
    </row>
    <row r="422" spans="1:17" s="45" customFormat="1" ht="31.5">
      <c r="A422" s="588"/>
      <c r="B422" s="607"/>
      <c r="C422" s="167"/>
      <c r="D422" s="13" t="s">
        <v>630</v>
      </c>
      <c r="E422" s="142"/>
      <c r="F422" s="143"/>
      <c r="G422" s="142"/>
      <c r="H422" s="144">
        <f t="shared" si="45"/>
        <v>53783.2</v>
      </c>
      <c r="I422" s="145"/>
      <c r="J422" s="145"/>
      <c r="K422" s="145"/>
      <c r="L422" s="247">
        <v>53783.2</v>
      </c>
      <c r="M422" s="146"/>
      <c r="N422" s="146"/>
      <c r="O422" s="239"/>
      <c r="P422" s="25"/>
      <c r="Q422" s="22"/>
    </row>
    <row r="423" spans="1:17" s="45" customFormat="1" ht="31.5">
      <c r="A423" s="588"/>
      <c r="B423" s="607"/>
      <c r="C423" s="167"/>
      <c r="D423" s="13" t="s">
        <v>367</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588"/>
      <c r="B424" s="607"/>
      <c r="C424" s="167"/>
      <c r="D424" s="13" t="s">
        <v>368</v>
      </c>
      <c r="E424" s="142"/>
      <c r="F424" s="143"/>
      <c r="G424" s="142"/>
      <c r="H424" s="144">
        <f t="shared" si="50"/>
        <v>81810</v>
      </c>
      <c r="I424" s="145"/>
      <c r="J424" s="145"/>
      <c r="K424" s="145"/>
      <c r="L424" s="247">
        <v>81810</v>
      </c>
      <c r="M424" s="146"/>
      <c r="N424" s="146"/>
      <c r="O424" s="239"/>
      <c r="P424" s="25"/>
      <c r="Q424" s="22"/>
    </row>
    <row r="425" spans="1:17" s="45" customFormat="1" ht="31.5">
      <c r="A425" s="588"/>
      <c r="B425" s="607"/>
      <c r="C425" s="167"/>
      <c r="D425" s="13" t="s">
        <v>1934</v>
      </c>
      <c r="E425" s="142"/>
      <c r="F425" s="143"/>
      <c r="G425" s="142"/>
      <c r="H425" s="144">
        <f t="shared" si="50"/>
        <v>58133.6</v>
      </c>
      <c r="I425" s="145"/>
      <c r="J425" s="145"/>
      <c r="K425" s="145"/>
      <c r="L425" s="247">
        <v>58133.6</v>
      </c>
      <c r="M425" s="146"/>
      <c r="N425" s="146"/>
      <c r="O425" s="239"/>
      <c r="P425" s="25"/>
      <c r="Q425" s="22"/>
    </row>
    <row r="426" spans="1:17" s="45" customFormat="1" ht="31.5">
      <c r="A426" s="588"/>
      <c r="B426" s="607"/>
      <c r="C426" s="167"/>
      <c r="D426" s="248" t="s">
        <v>371</v>
      </c>
      <c r="E426" s="142"/>
      <c r="F426" s="143"/>
      <c r="G426" s="142"/>
      <c r="H426" s="144">
        <f t="shared" si="50"/>
        <v>1837410</v>
      </c>
      <c r="I426" s="145"/>
      <c r="J426" s="145"/>
      <c r="K426" s="145"/>
      <c r="L426" s="247">
        <v>1837410</v>
      </c>
      <c r="M426" s="146"/>
      <c r="N426" s="146"/>
      <c r="O426" s="239"/>
      <c r="P426" s="25"/>
      <c r="Q426" s="22"/>
    </row>
    <row r="427" spans="1:17" s="45" customFormat="1" ht="31.5">
      <c r="A427" s="588"/>
      <c r="B427" s="607"/>
      <c r="C427" s="167"/>
      <c r="D427" s="13" t="s">
        <v>372</v>
      </c>
      <c r="E427" s="142"/>
      <c r="F427" s="143"/>
      <c r="G427" s="142"/>
      <c r="H427" s="144">
        <f t="shared" si="50"/>
        <v>380000</v>
      </c>
      <c r="I427" s="145"/>
      <c r="J427" s="145"/>
      <c r="K427" s="145"/>
      <c r="L427" s="247">
        <v>380000</v>
      </c>
      <c r="M427" s="146"/>
      <c r="N427" s="146"/>
      <c r="O427" s="239"/>
      <c r="P427" s="25"/>
      <c r="Q427" s="22"/>
    </row>
    <row r="428" spans="1:17" s="45" customFormat="1" ht="31.5">
      <c r="A428" s="570"/>
      <c r="B428" s="606"/>
      <c r="C428" s="167"/>
      <c r="D428" s="13" t="s">
        <v>67</v>
      </c>
      <c r="E428" s="142"/>
      <c r="F428" s="143"/>
      <c r="G428" s="142"/>
      <c r="H428" s="144">
        <f t="shared" si="50"/>
        <v>257000</v>
      </c>
      <c r="I428" s="145"/>
      <c r="J428" s="145"/>
      <c r="K428" s="145"/>
      <c r="L428" s="247">
        <v>257000</v>
      </c>
      <c r="M428" s="146"/>
      <c r="N428" s="146"/>
      <c r="O428" s="239"/>
      <c r="P428" s="25"/>
      <c r="Q428" s="22"/>
    </row>
    <row r="429" spans="1:17" s="30" customFormat="1" ht="15.75">
      <c r="A429" s="587" t="s">
        <v>1258</v>
      </c>
      <c r="B429" s="605" t="s">
        <v>68</v>
      </c>
      <c r="C429" s="227"/>
      <c r="D429" s="249" t="s">
        <v>1456</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588"/>
      <c r="B430" s="607"/>
      <c r="C430" s="167"/>
      <c r="D430" s="13" t="s">
        <v>1911</v>
      </c>
      <c r="E430" s="142"/>
      <c r="F430" s="143"/>
      <c r="G430" s="142"/>
      <c r="H430" s="144">
        <f t="shared" si="50"/>
        <v>90618.2</v>
      </c>
      <c r="I430" s="145"/>
      <c r="J430" s="145"/>
      <c r="K430" s="145"/>
      <c r="L430" s="247">
        <v>90618.2</v>
      </c>
      <c r="M430" s="146"/>
      <c r="N430" s="146"/>
      <c r="O430" s="239"/>
      <c r="P430" s="25"/>
      <c r="Q430" s="22"/>
    </row>
    <row r="431" spans="1:17" s="45" customFormat="1" ht="47.25">
      <c r="A431" s="570"/>
      <c r="B431" s="606"/>
      <c r="C431" s="167"/>
      <c r="D431" s="13" t="s">
        <v>112</v>
      </c>
      <c r="E431" s="142"/>
      <c r="F431" s="143"/>
      <c r="G431" s="142"/>
      <c r="H431" s="144">
        <f t="shared" si="50"/>
        <v>28910</v>
      </c>
      <c r="I431" s="145"/>
      <c r="J431" s="145"/>
      <c r="K431" s="145"/>
      <c r="L431" s="247">
        <v>28910</v>
      </c>
      <c r="M431" s="146"/>
      <c r="N431" s="146"/>
      <c r="O431" s="239"/>
      <c r="P431" s="25"/>
      <c r="Q431" s="22"/>
    </row>
    <row r="432" spans="1:63" s="54" customFormat="1" ht="15.75" customHeight="1">
      <c r="A432" s="587" t="s">
        <v>1207</v>
      </c>
      <c r="B432" s="605" t="s">
        <v>1390</v>
      </c>
      <c r="C432" s="195"/>
      <c r="D432" s="216" t="s">
        <v>1456</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588"/>
      <c r="B433" s="607"/>
      <c r="C433" s="135" t="s">
        <v>151</v>
      </c>
      <c r="D433" s="217" t="s">
        <v>164</v>
      </c>
      <c r="E433" s="142"/>
      <c r="F433" s="143"/>
      <c r="G433" s="142"/>
      <c r="H433" s="144">
        <f t="shared" si="50"/>
        <v>0</v>
      </c>
      <c r="I433" s="145"/>
      <c r="J433" s="145"/>
      <c r="K433" s="145"/>
      <c r="L433" s="145"/>
      <c r="M433" s="146"/>
      <c r="N433" s="146"/>
      <c r="O433" s="239"/>
      <c r="P433" s="25"/>
    </row>
    <row r="434" spans="1:16" ht="47.25">
      <c r="A434" s="588"/>
      <c r="B434" s="607"/>
      <c r="C434" s="218" t="s">
        <v>165</v>
      </c>
      <c r="D434" s="217" t="s">
        <v>166</v>
      </c>
      <c r="E434" s="142"/>
      <c r="F434" s="143"/>
      <c r="G434" s="142"/>
      <c r="H434" s="144">
        <f t="shared" si="50"/>
        <v>1500000</v>
      </c>
      <c r="I434" s="145"/>
      <c r="J434" s="145"/>
      <c r="K434" s="145"/>
      <c r="L434" s="145">
        <v>1500000</v>
      </c>
      <c r="M434" s="146"/>
      <c r="N434" s="146"/>
      <c r="O434" s="239"/>
      <c r="P434" s="25"/>
    </row>
    <row r="435" spans="1:16" ht="31.5" customHeight="1" hidden="1">
      <c r="A435" s="588"/>
      <c r="B435" s="607"/>
      <c r="C435" s="218" t="s">
        <v>167</v>
      </c>
      <c r="D435" s="217" t="s">
        <v>1205</v>
      </c>
      <c r="E435" s="142"/>
      <c r="F435" s="143"/>
      <c r="G435" s="142"/>
      <c r="H435" s="144">
        <f t="shared" si="50"/>
        <v>0</v>
      </c>
      <c r="I435" s="145"/>
      <c r="J435" s="145"/>
      <c r="K435" s="145"/>
      <c r="L435" s="145"/>
      <c r="M435" s="146"/>
      <c r="N435" s="146"/>
      <c r="O435" s="239"/>
      <c r="P435" s="25"/>
    </row>
    <row r="436" spans="1:16" ht="31.5" customHeight="1" hidden="1">
      <c r="A436" s="588"/>
      <c r="B436" s="607"/>
      <c r="C436" s="218" t="s">
        <v>815</v>
      </c>
      <c r="D436" s="217" t="s">
        <v>2101</v>
      </c>
      <c r="E436" s="142"/>
      <c r="F436" s="143"/>
      <c r="G436" s="142"/>
      <c r="H436" s="144">
        <f t="shared" si="50"/>
        <v>0</v>
      </c>
      <c r="I436" s="145"/>
      <c r="J436" s="145"/>
      <c r="K436" s="145"/>
      <c r="L436" s="145"/>
      <c r="M436" s="146"/>
      <c r="N436" s="146"/>
      <c r="O436" s="239"/>
      <c r="P436" s="25"/>
    </row>
    <row r="437" spans="1:16" ht="47.25">
      <c r="A437" s="588"/>
      <c r="B437" s="607"/>
      <c r="C437" s="218" t="s">
        <v>2102</v>
      </c>
      <c r="D437" s="217" t="s">
        <v>1122</v>
      </c>
      <c r="E437" s="142"/>
      <c r="F437" s="143"/>
      <c r="G437" s="142"/>
      <c r="H437" s="144">
        <f t="shared" si="50"/>
        <v>56439</v>
      </c>
      <c r="I437" s="145"/>
      <c r="J437" s="145"/>
      <c r="K437" s="145"/>
      <c r="L437" s="145">
        <v>56439</v>
      </c>
      <c r="M437" s="146"/>
      <c r="N437" s="146"/>
      <c r="O437" s="239"/>
      <c r="P437" s="25"/>
    </row>
    <row r="438" spans="1:16" ht="31.5" customHeight="1" hidden="1">
      <c r="A438" s="588"/>
      <c r="B438" s="607"/>
      <c r="C438" s="218" t="s">
        <v>1405</v>
      </c>
      <c r="D438" s="217" t="s">
        <v>1406</v>
      </c>
      <c r="E438" s="142"/>
      <c r="F438" s="143"/>
      <c r="G438" s="142"/>
      <c r="H438" s="144">
        <f t="shared" si="50"/>
        <v>0</v>
      </c>
      <c r="I438" s="145"/>
      <c r="J438" s="145"/>
      <c r="K438" s="145"/>
      <c r="L438" s="145"/>
      <c r="M438" s="146"/>
      <c r="N438" s="146"/>
      <c r="O438" s="239"/>
      <c r="P438" s="25"/>
    </row>
    <row r="439" spans="1:16" ht="31.5" customHeight="1" hidden="1">
      <c r="A439" s="588"/>
      <c r="B439" s="607"/>
      <c r="C439" s="218" t="s">
        <v>1407</v>
      </c>
      <c r="D439" s="217" t="s">
        <v>1408</v>
      </c>
      <c r="E439" s="142">
        <v>70</v>
      </c>
      <c r="F439" s="143">
        <f>100%-((E439-G439)/E439)</f>
        <v>1</v>
      </c>
      <c r="G439" s="142">
        <v>70</v>
      </c>
      <c r="H439" s="144">
        <f t="shared" si="50"/>
        <v>0</v>
      </c>
      <c r="I439" s="145"/>
      <c r="J439" s="145"/>
      <c r="K439" s="145"/>
      <c r="L439" s="145"/>
      <c r="M439" s="146"/>
      <c r="N439" s="146"/>
      <c r="O439" s="239"/>
      <c r="P439" s="25"/>
    </row>
    <row r="440" spans="1:16" ht="47.25" customHeight="1" hidden="1">
      <c r="A440" s="588"/>
      <c r="B440" s="607"/>
      <c r="C440" s="167" t="s">
        <v>1409</v>
      </c>
      <c r="D440" s="217" t="s">
        <v>517</v>
      </c>
      <c r="E440" s="142">
        <v>926</v>
      </c>
      <c r="F440" s="143">
        <f>100%-((E440-G440)/E440)</f>
        <v>1</v>
      </c>
      <c r="G440" s="142">
        <v>926</v>
      </c>
      <c r="H440" s="144">
        <f t="shared" si="50"/>
        <v>0</v>
      </c>
      <c r="I440" s="145"/>
      <c r="J440" s="145"/>
      <c r="K440" s="145"/>
      <c r="L440" s="145"/>
      <c r="M440" s="146"/>
      <c r="N440" s="146"/>
      <c r="O440" s="239"/>
      <c r="P440" s="25"/>
    </row>
    <row r="441" spans="1:16" ht="47.25">
      <c r="A441" s="588"/>
      <c r="B441" s="607"/>
      <c r="C441" s="167" t="s">
        <v>518</v>
      </c>
      <c r="D441" s="217" t="s">
        <v>519</v>
      </c>
      <c r="E441" s="142"/>
      <c r="F441" s="143"/>
      <c r="G441" s="142"/>
      <c r="H441" s="144">
        <f t="shared" si="50"/>
        <v>129478</v>
      </c>
      <c r="I441" s="145"/>
      <c r="J441" s="145"/>
      <c r="K441" s="145"/>
      <c r="L441" s="145">
        <v>129478</v>
      </c>
      <c r="M441" s="146"/>
      <c r="N441" s="146"/>
      <c r="O441" s="239"/>
      <c r="P441" s="25"/>
    </row>
    <row r="442" spans="1:16" ht="31.5" customHeight="1" hidden="1">
      <c r="A442" s="588"/>
      <c r="B442" s="607"/>
      <c r="C442" s="167" t="s">
        <v>14</v>
      </c>
      <c r="D442" s="217" t="s">
        <v>1137</v>
      </c>
      <c r="E442" s="142"/>
      <c r="F442" s="143"/>
      <c r="G442" s="142"/>
      <c r="H442" s="144">
        <f t="shared" si="50"/>
        <v>0</v>
      </c>
      <c r="I442" s="145"/>
      <c r="J442" s="145"/>
      <c r="K442" s="145"/>
      <c r="L442" s="145"/>
      <c r="M442" s="146"/>
      <c r="N442" s="146"/>
      <c r="O442" s="239"/>
      <c r="P442" s="25"/>
    </row>
    <row r="443" spans="1:16" ht="31.5" customHeight="1" hidden="1">
      <c r="A443" s="588"/>
      <c r="B443" s="607"/>
      <c r="C443" s="167" t="s">
        <v>1138</v>
      </c>
      <c r="D443" s="217" t="s">
        <v>1139</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588"/>
      <c r="B444" s="607"/>
      <c r="C444" s="167" t="s">
        <v>1140</v>
      </c>
      <c r="D444" s="217" t="s">
        <v>1141</v>
      </c>
      <c r="E444" s="142"/>
      <c r="F444" s="143"/>
      <c r="G444" s="142"/>
      <c r="H444" s="144">
        <f t="shared" si="50"/>
        <v>0</v>
      </c>
      <c r="I444" s="145"/>
      <c r="J444" s="145"/>
      <c r="K444" s="145"/>
      <c r="L444" s="145"/>
      <c r="M444" s="146"/>
      <c r="N444" s="146"/>
      <c r="O444" s="239"/>
      <c r="P444" s="25"/>
    </row>
    <row r="445" spans="1:16" ht="15.75" customHeight="1" hidden="1">
      <c r="A445" s="588"/>
      <c r="B445" s="607"/>
      <c r="C445" s="614" t="s">
        <v>1142</v>
      </c>
      <c r="D445" s="141" t="s">
        <v>2048</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588"/>
      <c r="B446" s="607"/>
      <c r="C446" s="615"/>
      <c r="D446" s="198" t="s">
        <v>2049</v>
      </c>
      <c r="E446" s="199"/>
      <c r="F446" s="143"/>
      <c r="G446" s="199"/>
      <c r="H446" s="201">
        <f t="shared" si="50"/>
        <v>0</v>
      </c>
      <c r="I446" s="202"/>
      <c r="J446" s="202"/>
      <c r="K446" s="202"/>
      <c r="L446" s="202"/>
      <c r="M446" s="203"/>
      <c r="N446" s="203"/>
      <c r="O446" s="246"/>
      <c r="P446" s="25"/>
    </row>
    <row r="447" spans="1:16" ht="15.75" customHeight="1" hidden="1">
      <c r="A447" s="588"/>
      <c r="B447" s="607"/>
      <c r="C447" s="616"/>
      <c r="D447" s="198" t="s">
        <v>1573</v>
      </c>
      <c r="E447" s="199"/>
      <c r="F447" s="143"/>
      <c r="G447" s="199"/>
      <c r="H447" s="201">
        <f t="shared" si="50"/>
        <v>0</v>
      </c>
      <c r="I447" s="202"/>
      <c r="J447" s="202"/>
      <c r="K447" s="202"/>
      <c r="L447" s="202"/>
      <c r="M447" s="203"/>
      <c r="N447" s="203"/>
      <c r="O447" s="246"/>
      <c r="P447" s="25"/>
    </row>
    <row r="448" spans="1:16" ht="31.5" customHeight="1" hidden="1">
      <c r="A448" s="588"/>
      <c r="B448" s="607"/>
      <c r="C448" s="167" t="s">
        <v>1574</v>
      </c>
      <c r="D448" s="141" t="s">
        <v>2064</v>
      </c>
      <c r="E448" s="142"/>
      <c r="F448" s="143"/>
      <c r="G448" s="142"/>
      <c r="H448" s="144">
        <f t="shared" si="50"/>
        <v>0</v>
      </c>
      <c r="I448" s="145"/>
      <c r="J448" s="145"/>
      <c r="K448" s="145"/>
      <c r="L448" s="145"/>
      <c r="M448" s="146"/>
      <c r="N448" s="146"/>
      <c r="O448" s="239"/>
      <c r="P448" s="25"/>
    </row>
    <row r="449" spans="1:16" ht="47.25" customHeight="1" hidden="1">
      <c r="A449" s="588"/>
      <c r="B449" s="607"/>
      <c r="C449" s="167" t="s">
        <v>2065</v>
      </c>
      <c r="D449" s="217" t="s">
        <v>764</v>
      </c>
      <c r="E449" s="142">
        <v>3325.84</v>
      </c>
      <c r="F449" s="143">
        <f>100%-((E449-G449)/E449)</f>
        <v>0.925</v>
      </c>
      <c r="G449" s="142">
        <v>3075.24</v>
      </c>
      <c r="H449" s="144">
        <f t="shared" si="50"/>
        <v>0</v>
      </c>
      <c r="I449" s="145"/>
      <c r="J449" s="145"/>
      <c r="K449" s="145"/>
      <c r="L449" s="145"/>
      <c r="M449" s="146"/>
      <c r="N449" s="146"/>
      <c r="O449" s="239"/>
      <c r="P449" s="25"/>
    </row>
    <row r="450" spans="1:16" ht="31.5">
      <c r="A450" s="588"/>
      <c r="B450" s="607"/>
      <c r="C450" s="614" t="s">
        <v>765</v>
      </c>
      <c r="D450" s="217" t="s">
        <v>766</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588"/>
      <c r="B451" s="607"/>
      <c r="C451" s="615"/>
      <c r="D451" s="60" t="s">
        <v>767</v>
      </c>
      <c r="E451" s="199"/>
      <c r="F451" s="143"/>
      <c r="G451" s="199"/>
      <c r="H451" s="201">
        <f t="shared" si="50"/>
        <v>88320</v>
      </c>
      <c r="I451" s="202"/>
      <c r="J451" s="202"/>
      <c r="K451" s="202"/>
      <c r="L451" s="202">
        <v>88320</v>
      </c>
      <c r="M451" s="146"/>
      <c r="N451" s="146"/>
      <c r="O451" s="239"/>
      <c r="P451" s="25"/>
    </row>
    <row r="452" spans="1:16" ht="15.75">
      <c r="A452" s="588"/>
      <c r="B452" s="607"/>
      <c r="C452" s="615"/>
      <c r="D452" s="60" t="s">
        <v>768</v>
      </c>
      <c r="E452" s="199"/>
      <c r="F452" s="143"/>
      <c r="G452" s="199"/>
      <c r="H452" s="201">
        <f t="shared" si="50"/>
        <v>84900</v>
      </c>
      <c r="I452" s="202"/>
      <c r="J452" s="202"/>
      <c r="K452" s="202"/>
      <c r="L452" s="202">
        <v>84900</v>
      </c>
      <c r="M452" s="146"/>
      <c r="N452" s="146"/>
      <c r="O452" s="239"/>
      <c r="P452" s="25"/>
    </row>
    <row r="453" spans="1:16" ht="15.75">
      <c r="A453" s="588"/>
      <c r="B453" s="607"/>
      <c r="C453" s="616"/>
      <c r="D453" s="60" t="s">
        <v>769</v>
      </c>
      <c r="E453" s="199"/>
      <c r="F453" s="143"/>
      <c r="G453" s="199"/>
      <c r="H453" s="201">
        <f t="shared" si="50"/>
        <v>12342</v>
      </c>
      <c r="I453" s="202"/>
      <c r="J453" s="202"/>
      <c r="K453" s="202"/>
      <c r="L453" s="202">
        <v>12342</v>
      </c>
      <c r="M453" s="146"/>
      <c r="N453" s="146"/>
      <c r="O453" s="239"/>
      <c r="P453" s="25"/>
    </row>
    <row r="454" spans="1:16" ht="31.5">
      <c r="A454" s="588"/>
      <c r="B454" s="607"/>
      <c r="C454" s="205" t="s">
        <v>770</v>
      </c>
      <c r="D454" s="217" t="s">
        <v>771</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588"/>
      <c r="B455" s="607"/>
      <c r="C455" s="614" t="s">
        <v>772</v>
      </c>
      <c r="D455" s="217" t="s">
        <v>773</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588"/>
      <c r="B456" s="607"/>
      <c r="C456" s="615"/>
      <c r="D456" s="251" t="s">
        <v>1429</v>
      </c>
      <c r="E456" s="199"/>
      <c r="F456" s="143"/>
      <c r="G456" s="199"/>
      <c r="H456" s="201">
        <f t="shared" si="55"/>
        <v>0</v>
      </c>
      <c r="I456" s="202"/>
      <c r="J456" s="202"/>
      <c r="K456" s="202"/>
      <c r="L456" s="202"/>
      <c r="M456" s="203"/>
      <c r="N456" s="203"/>
      <c r="O456" s="246"/>
      <c r="P456" s="25"/>
    </row>
    <row r="457" spans="1:16" ht="15.75" customHeight="1" hidden="1">
      <c r="A457" s="588"/>
      <c r="B457" s="607"/>
      <c r="C457" s="615"/>
      <c r="D457" s="251" t="s">
        <v>1430</v>
      </c>
      <c r="E457" s="199"/>
      <c r="F457" s="143"/>
      <c r="G457" s="199"/>
      <c r="H457" s="201">
        <f t="shared" si="55"/>
        <v>0</v>
      </c>
      <c r="I457" s="202"/>
      <c r="J457" s="202"/>
      <c r="K457" s="202"/>
      <c r="L457" s="202"/>
      <c r="M457" s="203"/>
      <c r="N457" s="203"/>
      <c r="O457" s="246"/>
      <c r="P457" s="25"/>
    </row>
    <row r="458" spans="1:16" ht="15.75" customHeight="1" hidden="1">
      <c r="A458" s="588"/>
      <c r="B458" s="607"/>
      <c r="C458" s="616"/>
      <c r="D458" s="251" t="s">
        <v>1431</v>
      </c>
      <c r="E458" s="199"/>
      <c r="F458" s="143"/>
      <c r="G458" s="199"/>
      <c r="H458" s="201">
        <f t="shared" si="55"/>
        <v>0</v>
      </c>
      <c r="I458" s="202"/>
      <c r="J458" s="202"/>
      <c r="K458" s="202"/>
      <c r="L458" s="202"/>
      <c r="M458" s="203"/>
      <c r="N458" s="203"/>
      <c r="O458" s="246"/>
      <c r="P458" s="25"/>
    </row>
    <row r="459" spans="1:16" ht="15.75">
      <c r="A459" s="588"/>
      <c r="B459" s="607"/>
      <c r="C459" s="614" t="s">
        <v>1432</v>
      </c>
      <c r="D459" s="217" t="s">
        <v>1427</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588"/>
      <c r="B460" s="607"/>
      <c r="C460" s="615"/>
      <c r="D460" s="347" t="s">
        <v>1912</v>
      </c>
      <c r="E460" s="199"/>
      <c r="F460" s="143"/>
      <c r="G460" s="199"/>
      <c r="H460" s="201">
        <f t="shared" si="55"/>
        <v>595000</v>
      </c>
      <c r="I460" s="202"/>
      <c r="J460" s="202"/>
      <c r="K460" s="202"/>
      <c r="L460" s="202">
        <v>595000</v>
      </c>
      <c r="M460" s="203"/>
      <c r="N460" s="203"/>
      <c r="O460" s="246"/>
      <c r="P460" s="25"/>
    </row>
    <row r="461" spans="1:16" ht="31.5">
      <c r="A461" s="588"/>
      <c r="B461" s="607"/>
      <c r="C461" s="615"/>
      <c r="D461" s="347" t="s">
        <v>1913</v>
      </c>
      <c r="E461" s="199"/>
      <c r="F461" s="143"/>
      <c r="G461" s="199"/>
      <c r="H461" s="201">
        <f t="shared" si="55"/>
        <v>595000</v>
      </c>
      <c r="I461" s="202"/>
      <c r="J461" s="202"/>
      <c r="K461" s="202"/>
      <c r="L461" s="202">
        <v>595000</v>
      </c>
      <c r="M461" s="203"/>
      <c r="N461" s="203"/>
      <c r="O461" s="246"/>
      <c r="P461" s="25"/>
    </row>
    <row r="462" spans="1:16" ht="31.5">
      <c r="A462" s="588"/>
      <c r="B462" s="607"/>
      <c r="C462" s="615"/>
      <c r="D462" s="347" t="s">
        <v>1914</v>
      </c>
      <c r="E462" s="199"/>
      <c r="F462" s="143"/>
      <c r="G462" s="199"/>
      <c r="H462" s="201">
        <f t="shared" si="55"/>
        <v>595000</v>
      </c>
      <c r="I462" s="202"/>
      <c r="J462" s="202"/>
      <c r="K462" s="202"/>
      <c r="L462" s="202">
        <v>595000</v>
      </c>
      <c r="M462" s="203"/>
      <c r="N462" s="203"/>
      <c r="O462" s="246"/>
      <c r="P462" s="25"/>
    </row>
    <row r="463" spans="1:16" ht="31.5">
      <c r="A463" s="588"/>
      <c r="B463" s="607"/>
      <c r="C463" s="616"/>
      <c r="D463" s="347" t="s">
        <v>1614</v>
      </c>
      <c r="E463" s="199"/>
      <c r="F463" s="143"/>
      <c r="G463" s="199"/>
      <c r="H463" s="201">
        <f t="shared" si="55"/>
        <v>595000</v>
      </c>
      <c r="I463" s="202"/>
      <c r="J463" s="202"/>
      <c r="K463" s="202"/>
      <c r="L463" s="202">
        <v>595000</v>
      </c>
      <c r="M463" s="203"/>
      <c r="N463" s="203"/>
      <c r="O463" s="246"/>
      <c r="P463" s="25"/>
    </row>
    <row r="464" spans="1:16" ht="48.75" customHeight="1" hidden="1">
      <c r="A464" s="588"/>
      <c r="B464" s="607"/>
      <c r="C464" s="205" t="s">
        <v>1915</v>
      </c>
      <c r="D464" s="61" t="s">
        <v>1916</v>
      </c>
      <c r="E464" s="142">
        <v>1040.892</v>
      </c>
      <c r="F464" s="143">
        <f>100%-((E464-G464)/E464)</f>
        <v>1</v>
      </c>
      <c r="G464" s="142">
        <v>1040.892</v>
      </c>
      <c r="H464" s="144">
        <f t="shared" si="55"/>
        <v>0</v>
      </c>
      <c r="I464" s="202"/>
      <c r="J464" s="202"/>
      <c r="K464" s="202"/>
      <c r="L464" s="145"/>
      <c r="M464" s="203"/>
      <c r="N464" s="203"/>
      <c r="O464" s="246"/>
      <c r="P464" s="25"/>
    </row>
    <row r="465" spans="1:16" ht="31.5">
      <c r="A465" s="588"/>
      <c r="B465" s="607"/>
      <c r="C465" s="205"/>
      <c r="D465" s="217" t="s">
        <v>1917</v>
      </c>
      <c r="E465" s="199"/>
      <c r="F465" s="143"/>
      <c r="G465" s="199"/>
      <c r="H465" s="144">
        <f t="shared" si="55"/>
        <v>6358.04</v>
      </c>
      <c r="I465" s="202"/>
      <c r="J465" s="202"/>
      <c r="K465" s="202"/>
      <c r="L465" s="145">
        <v>6358.04</v>
      </c>
      <c r="M465" s="203"/>
      <c r="N465" s="203"/>
      <c r="O465" s="246"/>
      <c r="P465" s="25"/>
    </row>
    <row r="466" spans="1:17" s="64" customFormat="1" ht="15.75" hidden="1">
      <c r="A466" s="588"/>
      <c r="B466" s="607"/>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588"/>
      <c r="B467" s="607"/>
      <c r="C467" s="252"/>
      <c r="D467" s="13" t="s">
        <v>1919</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588"/>
      <c r="B468" s="607"/>
      <c r="C468" s="252"/>
      <c r="D468" s="346" t="s">
        <v>1918</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588"/>
      <c r="B469" s="607"/>
      <c r="C469" s="252"/>
      <c r="D469" s="346" t="s">
        <v>113</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588"/>
      <c r="B470" s="607"/>
      <c r="C470" s="252"/>
      <c r="D470" s="346" t="s">
        <v>774</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588"/>
      <c r="B471" s="607"/>
      <c r="C471" s="252"/>
      <c r="D471" s="346" t="s">
        <v>1383</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588"/>
      <c r="B472" s="607"/>
      <c r="C472" s="252"/>
      <c r="D472" s="346" t="s">
        <v>2066</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588"/>
      <c r="B473" s="607"/>
      <c r="C473" s="205"/>
      <c r="D473" s="13" t="s">
        <v>303</v>
      </c>
      <c r="E473" s="142"/>
      <c r="F473" s="143"/>
      <c r="G473" s="142"/>
      <c r="H473" s="144">
        <f t="shared" si="55"/>
        <v>40000</v>
      </c>
      <c r="I473" s="202"/>
      <c r="J473" s="202"/>
      <c r="K473" s="145"/>
      <c r="L473" s="49">
        <f>SUM(L474:L478)</f>
        <v>40000</v>
      </c>
      <c r="M473" s="202"/>
      <c r="N473" s="202"/>
      <c r="O473" s="202"/>
      <c r="P473" s="25"/>
    </row>
    <row r="474" spans="1:63" s="253" customFormat="1" ht="15.75">
      <c r="A474" s="588"/>
      <c r="B474" s="607"/>
      <c r="C474" s="252"/>
      <c r="D474" s="346" t="s">
        <v>1918</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588"/>
      <c r="B475" s="607"/>
      <c r="C475" s="252"/>
      <c r="D475" s="346" t="s">
        <v>113</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588"/>
      <c r="B476" s="607"/>
      <c r="C476" s="252"/>
      <c r="D476" s="346" t="s">
        <v>774</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588"/>
      <c r="B477" s="607"/>
      <c r="C477" s="252"/>
      <c r="D477" s="346" t="s">
        <v>1383</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588"/>
      <c r="B478" s="607"/>
      <c r="C478" s="252"/>
      <c r="D478" s="346" t="s">
        <v>2067</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588"/>
      <c r="B479" s="607"/>
      <c r="C479" s="205"/>
      <c r="D479" s="13" t="s">
        <v>1719</v>
      </c>
      <c r="E479" s="199"/>
      <c r="F479" s="200"/>
      <c r="G479" s="199"/>
      <c r="H479" s="144">
        <f t="shared" si="55"/>
        <v>2980000</v>
      </c>
      <c r="I479" s="202"/>
      <c r="J479" s="202"/>
      <c r="K479" s="202"/>
      <c r="L479" s="247">
        <v>2980000</v>
      </c>
      <c r="M479" s="203"/>
      <c r="N479" s="203"/>
      <c r="O479" s="246"/>
      <c r="P479" s="25"/>
    </row>
    <row r="480" spans="1:16" ht="47.25">
      <c r="A480" s="588"/>
      <c r="B480" s="607"/>
      <c r="C480" s="205"/>
      <c r="D480" s="13" t="s">
        <v>1720</v>
      </c>
      <c r="E480" s="142"/>
      <c r="F480" s="143"/>
      <c r="G480" s="142"/>
      <c r="H480" s="144">
        <f t="shared" si="55"/>
        <v>180000</v>
      </c>
      <c r="I480" s="202"/>
      <c r="J480" s="202"/>
      <c r="K480" s="145"/>
      <c r="L480" s="247">
        <v>180000</v>
      </c>
      <c r="M480" s="203"/>
      <c r="N480" s="203"/>
      <c r="O480" s="246"/>
      <c r="P480" s="25"/>
    </row>
    <row r="481" spans="1:16" ht="31.5">
      <c r="A481" s="588"/>
      <c r="B481" s="607"/>
      <c r="C481" s="205"/>
      <c r="D481" s="141" t="s">
        <v>1721</v>
      </c>
      <c r="E481" s="142"/>
      <c r="F481" s="143"/>
      <c r="G481" s="142"/>
      <c r="H481" s="144">
        <f t="shared" si="55"/>
        <v>677330</v>
      </c>
      <c r="I481" s="202"/>
      <c r="J481" s="202"/>
      <c r="K481" s="145"/>
      <c r="L481" s="247">
        <v>677330</v>
      </c>
      <c r="M481" s="202"/>
      <c r="N481" s="202"/>
      <c r="O481" s="202"/>
      <c r="P481" s="25"/>
    </row>
    <row r="482" spans="1:16" ht="31.5">
      <c r="A482" s="588"/>
      <c r="B482" s="607"/>
      <c r="C482" s="205"/>
      <c r="D482" s="13" t="s">
        <v>1021</v>
      </c>
      <c r="E482" s="142"/>
      <c r="F482" s="143"/>
      <c r="G482" s="142"/>
      <c r="H482" s="144">
        <f t="shared" si="55"/>
        <v>250000</v>
      </c>
      <c r="I482" s="202"/>
      <c r="J482" s="202"/>
      <c r="K482" s="145"/>
      <c r="L482" s="247">
        <v>250000</v>
      </c>
      <c r="M482" s="203"/>
      <c r="N482" s="203"/>
      <c r="O482" s="246"/>
      <c r="P482" s="25"/>
    </row>
    <row r="483" spans="1:16" ht="31.5">
      <c r="A483" s="588"/>
      <c r="B483" s="607"/>
      <c r="C483" s="205"/>
      <c r="D483" s="13" t="s">
        <v>1022</v>
      </c>
      <c r="E483" s="142"/>
      <c r="F483" s="143"/>
      <c r="G483" s="142"/>
      <c r="H483" s="144">
        <f t="shared" si="55"/>
        <v>200000</v>
      </c>
      <c r="I483" s="202"/>
      <c r="J483" s="202"/>
      <c r="K483" s="145"/>
      <c r="L483" s="247">
        <v>200000</v>
      </c>
      <c r="M483" s="203"/>
      <c r="N483" s="203"/>
      <c r="O483" s="246"/>
      <c r="P483" s="25"/>
    </row>
    <row r="484" spans="1:16" ht="31.5">
      <c r="A484" s="588"/>
      <c r="B484" s="607"/>
      <c r="C484" s="205"/>
      <c r="D484" s="13" t="s">
        <v>1023</v>
      </c>
      <c r="E484" s="142"/>
      <c r="F484" s="143"/>
      <c r="G484" s="142"/>
      <c r="H484" s="144">
        <f t="shared" si="55"/>
        <v>53120</v>
      </c>
      <c r="I484" s="202"/>
      <c r="J484" s="202"/>
      <c r="K484" s="145"/>
      <c r="L484" s="247">
        <v>53120</v>
      </c>
      <c r="M484" s="203"/>
      <c r="N484" s="203"/>
      <c r="O484" s="246"/>
      <c r="P484" s="25"/>
    </row>
    <row r="485" spans="1:16" ht="31.5">
      <c r="A485" s="588"/>
      <c r="B485" s="607"/>
      <c r="C485" s="205"/>
      <c r="D485" s="13" t="s">
        <v>1024</v>
      </c>
      <c r="E485" s="142"/>
      <c r="F485" s="143"/>
      <c r="G485" s="142"/>
      <c r="H485" s="144">
        <f t="shared" si="55"/>
        <v>31760</v>
      </c>
      <c r="I485" s="202"/>
      <c r="J485" s="202"/>
      <c r="K485" s="145"/>
      <c r="L485" s="247">
        <v>31760</v>
      </c>
      <c r="M485" s="203"/>
      <c r="N485" s="203"/>
      <c r="O485" s="246"/>
      <c r="P485" s="25"/>
    </row>
    <row r="486" spans="1:16" ht="31.5">
      <c r="A486" s="588"/>
      <c r="B486" s="607"/>
      <c r="C486" s="205"/>
      <c r="D486" s="13" t="s">
        <v>1384</v>
      </c>
      <c r="E486" s="142"/>
      <c r="F486" s="143"/>
      <c r="G486" s="142"/>
      <c r="H486" s="144">
        <f t="shared" si="55"/>
        <v>22320</v>
      </c>
      <c r="I486" s="202"/>
      <c r="J486" s="202"/>
      <c r="K486" s="145"/>
      <c r="L486" s="247">
        <v>22320</v>
      </c>
      <c r="M486" s="203"/>
      <c r="N486" s="203"/>
      <c r="O486" s="246"/>
      <c r="P486" s="25"/>
    </row>
    <row r="487" spans="1:16" ht="31.5">
      <c r="A487" s="588"/>
      <c r="B487" s="607"/>
      <c r="C487" s="205"/>
      <c r="D487" s="66" t="s">
        <v>2105</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588"/>
      <c r="B488" s="607"/>
      <c r="C488" s="252"/>
      <c r="D488" s="351" t="s">
        <v>2106</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612"/>
      <c r="B489" s="567"/>
      <c r="C489" s="252"/>
      <c r="D489" s="351" t="s">
        <v>2107</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612"/>
      <c r="B490" s="567"/>
      <c r="C490" s="252"/>
      <c r="D490" s="351" t="s">
        <v>2108</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612"/>
      <c r="B491" s="567"/>
      <c r="C491" s="252"/>
      <c r="D491" s="351" t="s">
        <v>2109</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574"/>
      <c r="B492" s="566"/>
      <c r="C492" s="205"/>
      <c r="D492" s="13" t="s">
        <v>1714</v>
      </c>
      <c r="E492" s="142"/>
      <c r="F492" s="143"/>
      <c r="G492" s="142"/>
      <c r="H492" s="144">
        <f t="shared" si="58"/>
        <v>57890.57</v>
      </c>
      <c r="I492" s="202"/>
      <c r="J492" s="202"/>
      <c r="K492" s="202"/>
      <c r="L492" s="247">
        <v>57890.57</v>
      </c>
      <c r="M492" s="203"/>
      <c r="N492" s="203"/>
      <c r="O492" s="246"/>
      <c r="P492" s="25"/>
    </row>
    <row r="493" spans="1:16" ht="20.25" customHeight="1">
      <c r="A493" s="587" t="s">
        <v>1208</v>
      </c>
      <c r="B493" s="605" t="s">
        <v>634</v>
      </c>
      <c r="C493" s="195"/>
      <c r="D493" s="216" t="s">
        <v>1456</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588"/>
      <c r="B494" s="607"/>
      <c r="C494" s="569" t="s">
        <v>1385</v>
      </c>
      <c r="D494" s="217" t="s">
        <v>1386</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588"/>
      <c r="B495" s="607"/>
      <c r="C495" s="553"/>
      <c r="D495" s="352" t="s">
        <v>1387</v>
      </c>
      <c r="E495" s="199"/>
      <c r="F495" s="143"/>
      <c r="G495" s="199"/>
      <c r="H495" s="201">
        <f t="shared" si="58"/>
        <v>55275</v>
      </c>
      <c r="I495" s="202"/>
      <c r="J495" s="202"/>
      <c r="K495" s="202"/>
      <c r="L495" s="202">
        <v>55275</v>
      </c>
      <c r="M495" s="146"/>
      <c r="N495" s="146"/>
      <c r="O495" s="239"/>
      <c r="P495" s="25"/>
    </row>
    <row r="496" spans="1:16" ht="15.75" customHeight="1" hidden="1">
      <c r="A496" s="588"/>
      <c r="B496" s="607"/>
      <c r="C496" s="553"/>
      <c r="D496" s="352" t="s">
        <v>1533</v>
      </c>
      <c r="E496" s="199"/>
      <c r="F496" s="143"/>
      <c r="G496" s="199"/>
      <c r="H496" s="201">
        <f t="shared" si="58"/>
        <v>0</v>
      </c>
      <c r="I496" s="202"/>
      <c r="J496" s="202"/>
      <c r="K496" s="202"/>
      <c r="L496" s="202"/>
      <c r="M496" s="146"/>
      <c r="N496" s="146"/>
      <c r="O496" s="239"/>
      <c r="P496" s="25"/>
    </row>
    <row r="497" spans="1:16" ht="31.5">
      <c r="A497" s="588"/>
      <c r="B497" s="607"/>
      <c r="C497" s="553"/>
      <c r="D497" s="352" t="s">
        <v>1534</v>
      </c>
      <c r="E497" s="199"/>
      <c r="F497" s="143"/>
      <c r="G497" s="199"/>
      <c r="H497" s="201">
        <f t="shared" si="58"/>
        <v>15900</v>
      </c>
      <c r="I497" s="202"/>
      <c r="J497" s="202"/>
      <c r="K497" s="202"/>
      <c r="L497" s="202">
        <v>15900</v>
      </c>
      <c r="M497" s="146"/>
      <c r="N497" s="146"/>
      <c r="O497" s="239"/>
      <c r="P497" s="25"/>
    </row>
    <row r="498" spans="1:16" ht="31.5">
      <c r="A498" s="588"/>
      <c r="B498" s="607"/>
      <c r="C498" s="554"/>
      <c r="D498" s="352" t="s">
        <v>1742</v>
      </c>
      <c r="E498" s="199"/>
      <c r="F498" s="143"/>
      <c r="G498" s="199"/>
      <c r="H498" s="201">
        <f t="shared" si="58"/>
        <v>28500</v>
      </c>
      <c r="I498" s="202"/>
      <c r="J498" s="202"/>
      <c r="K498" s="202"/>
      <c r="L498" s="202">
        <v>28500</v>
      </c>
      <c r="M498" s="146"/>
      <c r="N498" s="146"/>
      <c r="O498" s="239"/>
      <c r="P498" s="25"/>
    </row>
    <row r="499" spans="1:16" ht="31.5" customHeight="1" hidden="1">
      <c r="A499" s="588"/>
      <c r="B499" s="607"/>
      <c r="C499" s="135" t="s">
        <v>1743</v>
      </c>
      <c r="D499" s="217" t="s">
        <v>1744</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588"/>
      <c r="B500" s="607"/>
      <c r="C500" s="135"/>
      <c r="D500" s="217" t="s">
        <v>1465</v>
      </c>
      <c r="E500" s="142"/>
      <c r="F500" s="143"/>
      <c r="G500" s="142"/>
      <c r="H500" s="144">
        <f t="shared" si="58"/>
        <v>0</v>
      </c>
      <c r="I500" s="145"/>
      <c r="J500" s="145"/>
      <c r="K500" s="145"/>
      <c r="L500" s="145"/>
      <c r="M500" s="146"/>
      <c r="N500" s="146"/>
      <c r="O500" s="239"/>
      <c r="P500" s="25"/>
    </row>
    <row r="501" spans="1:16" ht="31.5">
      <c r="A501" s="588"/>
      <c r="B501" s="607"/>
      <c r="C501" s="135"/>
      <c r="D501" s="217" t="s">
        <v>1535</v>
      </c>
      <c r="E501" s="142">
        <v>32.608</v>
      </c>
      <c r="F501" s="143">
        <f>100%-((E501-G501)/E501)</f>
        <v>1</v>
      </c>
      <c r="G501" s="142">
        <v>32.608</v>
      </c>
      <c r="H501" s="144">
        <f t="shared" si="58"/>
        <v>41511.15</v>
      </c>
      <c r="I501" s="145"/>
      <c r="J501" s="145"/>
      <c r="K501" s="145"/>
      <c r="L501" s="145">
        <v>41511.15</v>
      </c>
      <c r="M501" s="146"/>
      <c r="N501" s="146"/>
      <c r="O501" s="239"/>
      <c r="P501" s="25"/>
    </row>
    <row r="502" spans="1:16" ht="31.5">
      <c r="A502" s="588"/>
      <c r="B502" s="607"/>
      <c r="C502" s="135"/>
      <c r="D502" s="13" t="s">
        <v>1715</v>
      </c>
      <c r="E502" s="142"/>
      <c r="F502" s="143"/>
      <c r="G502" s="142"/>
      <c r="H502" s="144">
        <f t="shared" si="58"/>
        <v>30000</v>
      </c>
      <c r="I502" s="145"/>
      <c r="J502" s="145"/>
      <c r="K502" s="145"/>
      <c r="L502" s="247">
        <v>30000</v>
      </c>
      <c r="M502" s="146"/>
      <c r="N502" s="146"/>
      <c r="O502" s="239"/>
      <c r="P502" s="25"/>
    </row>
    <row r="503" spans="1:16" ht="31.5">
      <c r="A503" s="588"/>
      <c r="B503" s="607"/>
      <c r="C503" s="135"/>
      <c r="D503" s="13" t="s">
        <v>1648</v>
      </c>
      <c r="E503" s="142"/>
      <c r="F503" s="143"/>
      <c r="G503" s="142"/>
      <c r="H503" s="144">
        <f t="shared" si="58"/>
        <v>52500</v>
      </c>
      <c r="I503" s="145"/>
      <c r="J503" s="145"/>
      <c r="K503" s="145"/>
      <c r="L503" s="49">
        <f>SUM(L504:L506)</f>
        <v>52500</v>
      </c>
      <c r="M503" s="146"/>
      <c r="N503" s="146"/>
      <c r="O503" s="239"/>
      <c r="P503" s="25"/>
    </row>
    <row r="504" spans="1:17" s="64" customFormat="1" ht="15.75">
      <c r="A504" s="588"/>
      <c r="B504" s="607"/>
      <c r="C504" s="255"/>
      <c r="D504" s="346" t="s">
        <v>1649</v>
      </c>
      <c r="E504" s="199"/>
      <c r="F504" s="200"/>
      <c r="G504" s="199"/>
      <c r="H504" s="201">
        <f t="shared" si="58"/>
        <v>40000</v>
      </c>
      <c r="I504" s="202"/>
      <c r="J504" s="202"/>
      <c r="K504" s="202"/>
      <c r="L504" s="245">
        <v>40000</v>
      </c>
      <c r="M504" s="203"/>
      <c r="N504" s="203"/>
      <c r="O504" s="246"/>
      <c r="P504" s="62"/>
      <c r="Q504" s="63"/>
    </row>
    <row r="505" spans="1:17" s="64" customFormat="1" ht="15.75">
      <c r="A505" s="588"/>
      <c r="B505" s="607"/>
      <c r="C505" s="255"/>
      <c r="D505" s="346" t="s">
        <v>1650</v>
      </c>
      <c r="E505" s="199"/>
      <c r="F505" s="200"/>
      <c r="G505" s="199"/>
      <c r="H505" s="201">
        <f t="shared" si="58"/>
        <v>6000</v>
      </c>
      <c r="I505" s="202"/>
      <c r="J505" s="202"/>
      <c r="K505" s="202"/>
      <c r="L505" s="245">
        <v>6000</v>
      </c>
      <c r="M505" s="203"/>
      <c r="N505" s="203"/>
      <c r="O505" s="246"/>
      <c r="P505" s="62"/>
      <c r="Q505" s="63"/>
    </row>
    <row r="506" spans="1:17" s="64" customFormat="1" ht="15.75">
      <c r="A506" s="570"/>
      <c r="B506" s="606"/>
      <c r="C506" s="255"/>
      <c r="D506" s="346" t="s">
        <v>1651</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58" t="s">
        <v>1209</v>
      </c>
      <c r="B507" s="560" t="s">
        <v>1536</v>
      </c>
      <c r="C507" s="167"/>
      <c r="D507" s="216" t="s">
        <v>1899</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59"/>
      <c r="B508" s="561"/>
      <c r="C508" s="167" t="s">
        <v>1900</v>
      </c>
      <c r="D508" s="217" t="s">
        <v>1245</v>
      </c>
      <c r="E508" s="142">
        <v>205</v>
      </c>
      <c r="F508" s="143">
        <f>100%-((E508-G508)/E508)</f>
        <v>1</v>
      </c>
      <c r="G508" s="142">
        <v>205</v>
      </c>
      <c r="H508" s="144">
        <f t="shared" si="58"/>
        <v>0</v>
      </c>
      <c r="I508" s="145"/>
      <c r="J508" s="145"/>
      <c r="K508" s="145"/>
      <c r="L508" s="145"/>
      <c r="M508" s="146"/>
      <c r="N508" s="146"/>
      <c r="O508" s="239"/>
      <c r="P508" s="25"/>
    </row>
    <row r="509" spans="1:16" ht="31.5" hidden="1">
      <c r="A509" s="559"/>
      <c r="B509" s="561"/>
      <c r="C509" s="167"/>
      <c r="D509" s="66" t="s">
        <v>2105</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59"/>
      <c r="B510" s="561"/>
      <c r="C510" s="244"/>
      <c r="D510" s="67" t="s">
        <v>2106</v>
      </c>
      <c r="E510" s="199"/>
      <c r="F510" s="200"/>
      <c r="G510" s="199"/>
      <c r="H510" s="144">
        <f t="shared" si="58"/>
        <v>0</v>
      </c>
      <c r="I510" s="202"/>
      <c r="J510" s="202"/>
      <c r="K510" s="202"/>
      <c r="L510" s="202"/>
      <c r="M510" s="203"/>
      <c r="N510" s="203"/>
      <c r="O510" s="246"/>
      <c r="P510" s="62"/>
      <c r="Q510" s="63"/>
    </row>
    <row r="511" spans="1:17" s="64" customFormat="1" ht="15.75" hidden="1">
      <c r="A511" s="559"/>
      <c r="B511" s="561"/>
      <c r="C511" s="244"/>
      <c r="D511" s="67" t="s">
        <v>2107</v>
      </c>
      <c r="E511" s="199"/>
      <c r="F511" s="200"/>
      <c r="G511" s="199"/>
      <c r="H511" s="144">
        <f t="shared" si="58"/>
        <v>0</v>
      </c>
      <c r="I511" s="202"/>
      <c r="J511" s="202"/>
      <c r="K511" s="202"/>
      <c r="L511" s="202"/>
      <c r="M511" s="203"/>
      <c r="N511" s="203"/>
      <c r="O511" s="246"/>
      <c r="P511" s="62"/>
      <c r="Q511" s="63"/>
    </row>
    <row r="512" spans="1:17" s="64" customFormat="1" ht="15.75" hidden="1">
      <c r="A512" s="559"/>
      <c r="B512" s="561"/>
      <c r="C512" s="244"/>
      <c r="D512" s="67" t="s">
        <v>2108</v>
      </c>
      <c r="E512" s="199"/>
      <c r="F512" s="200"/>
      <c r="G512" s="199"/>
      <c r="H512" s="144">
        <f t="shared" si="58"/>
        <v>0</v>
      </c>
      <c r="I512" s="202"/>
      <c r="J512" s="202"/>
      <c r="K512" s="202"/>
      <c r="L512" s="202"/>
      <c r="M512" s="203"/>
      <c r="N512" s="203"/>
      <c r="O512" s="246"/>
      <c r="P512" s="62"/>
      <c r="Q512" s="63"/>
    </row>
    <row r="513" spans="1:17" s="64" customFormat="1" ht="15.75" hidden="1">
      <c r="A513" s="559"/>
      <c r="B513" s="561"/>
      <c r="C513" s="244"/>
      <c r="D513" s="67" t="s">
        <v>2109</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587" t="s">
        <v>1101</v>
      </c>
      <c r="B517" s="605" t="s">
        <v>1640</v>
      </c>
      <c r="C517" s="195"/>
      <c r="D517" s="216" t="s">
        <v>1456</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588"/>
      <c r="B518" s="607"/>
      <c r="C518" s="167" t="s">
        <v>2110</v>
      </c>
      <c r="D518" s="217" t="s">
        <v>2111</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588"/>
      <c r="B519" s="607"/>
      <c r="C519" s="167" t="s">
        <v>2112</v>
      </c>
      <c r="D519" s="217" t="s">
        <v>2126</v>
      </c>
      <c r="E519" s="142">
        <v>378.402</v>
      </c>
      <c r="F519" s="143">
        <f>100%-((E519-G519)/E519)</f>
        <v>1</v>
      </c>
      <c r="G519" s="142">
        <v>378.402</v>
      </c>
      <c r="H519" s="144">
        <f>I519+K519+L519+M519+N519+O519</f>
        <v>0</v>
      </c>
      <c r="I519" s="145"/>
      <c r="J519" s="145"/>
      <c r="K519" s="145"/>
      <c r="L519" s="145"/>
      <c r="M519" s="146"/>
      <c r="N519" s="146"/>
      <c r="O519" s="239"/>
      <c r="P519" s="25"/>
    </row>
    <row r="520" spans="1:16" ht="47.25">
      <c r="A520" s="588"/>
      <c r="B520" s="607"/>
      <c r="C520" s="167" t="s">
        <v>1743</v>
      </c>
      <c r="D520" s="217" t="s">
        <v>2127</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570"/>
      <c r="B521" s="606"/>
      <c r="C521" s="167"/>
      <c r="D521" s="217" t="s">
        <v>527</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1644</v>
      </c>
      <c r="B523" s="584" t="s">
        <v>2128</v>
      </c>
      <c r="C523" s="584"/>
      <c r="D523" s="584"/>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58" t="s">
        <v>1756</v>
      </c>
      <c r="B524" s="560" t="s">
        <v>1458</v>
      </c>
      <c r="C524" s="195"/>
      <c r="D524" s="216" t="s">
        <v>1456</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59"/>
      <c r="B525" s="561"/>
      <c r="C525" s="167" t="s">
        <v>2129</v>
      </c>
      <c r="D525" s="208" t="s">
        <v>2130</v>
      </c>
      <c r="E525" s="142"/>
      <c r="F525" s="143"/>
      <c r="G525" s="142"/>
      <c r="H525" s="144">
        <f t="shared" si="63"/>
        <v>0</v>
      </c>
      <c r="I525" s="145"/>
      <c r="J525" s="145"/>
      <c r="K525" s="145"/>
      <c r="L525" s="145"/>
      <c r="M525" s="146"/>
      <c r="N525" s="146"/>
      <c r="O525" s="147"/>
      <c r="P525" s="25"/>
    </row>
    <row r="526" spans="1:16" ht="15.75" customHeight="1" hidden="1">
      <c r="A526" s="559"/>
      <c r="B526" s="561"/>
      <c r="C526" s="167" t="s">
        <v>2018</v>
      </c>
      <c r="D526" s="208" t="s">
        <v>2019</v>
      </c>
      <c r="E526" s="142"/>
      <c r="F526" s="143"/>
      <c r="G526" s="142"/>
      <c r="H526" s="144">
        <f t="shared" si="63"/>
        <v>0</v>
      </c>
      <c r="I526" s="145"/>
      <c r="J526" s="145"/>
      <c r="K526" s="145"/>
      <c r="L526" s="145"/>
      <c r="M526" s="146"/>
      <c r="N526" s="146"/>
      <c r="O526" s="147"/>
      <c r="P526" s="25"/>
    </row>
    <row r="527" spans="1:16" ht="31.5">
      <c r="A527" s="559"/>
      <c r="B527" s="561"/>
      <c r="C527" s="167" t="s">
        <v>1197</v>
      </c>
      <c r="D527" s="208" t="s">
        <v>969</v>
      </c>
      <c r="E527" s="142"/>
      <c r="F527" s="143"/>
      <c r="G527" s="142"/>
      <c r="H527" s="144">
        <f t="shared" si="63"/>
        <v>86738.64</v>
      </c>
      <c r="I527" s="145"/>
      <c r="J527" s="145"/>
      <c r="K527" s="145"/>
      <c r="L527" s="145">
        <v>86738.64</v>
      </c>
      <c r="M527" s="146"/>
      <c r="N527" s="146"/>
      <c r="O527" s="147"/>
      <c r="P527" s="25"/>
    </row>
    <row r="528" spans="1:16" ht="47.25" customHeight="1" hidden="1">
      <c r="A528" s="559"/>
      <c r="B528" s="561"/>
      <c r="C528" s="167" t="s">
        <v>970</v>
      </c>
      <c r="D528" s="208" t="s">
        <v>511</v>
      </c>
      <c r="E528" s="142"/>
      <c r="F528" s="143"/>
      <c r="G528" s="142"/>
      <c r="H528" s="144">
        <f t="shared" si="63"/>
        <v>0</v>
      </c>
      <c r="I528" s="145"/>
      <c r="J528" s="145"/>
      <c r="K528" s="145"/>
      <c r="L528" s="145"/>
      <c r="M528" s="146"/>
      <c r="N528" s="146"/>
      <c r="O528" s="147"/>
      <c r="P528" s="25"/>
    </row>
    <row r="529" spans="1:16" ht="47.25">
      <c r="A529" s="559"/>
      <c r="B529" s="561"/>
      <c r="C529" s="167"/>
      <c r="D529" s="208" t="s">
        <v>512</v>
      </c>
      <c r="E529" s="142"/>
      <c r="F529" s="143"/>
      <c r="G529" s="142"/>
      <c r="H529" s="144">
        <f t="shared" si="63"/>
        <v>86900</v>
      </c>
      <c r="I529" s="145"/>
      <c r="J529" s="145"/>
      <c r="K529" s="145"/>
      <c r="L529" s="145">
        <v>86900</v>
      </c>
      <c r="M529" s="146"/>
      <c r="N529" s="146"/>
      <c r="O529" s="147"/>
      <c r="P529" s="25"/>
    </row>
    <row r="530" spans="1:16" ht="47.25">
      <c r="A530" s="559"/>
      <c r="B530" s="561"/>
      <c r="C530" s="148" t="s">
        <v>513</v>
      </c>
      <c r="D530" s="141" t="s">
        <v>1328</v>
      </c>
      <c r="E530" s="142"/>
      <c r="F530" s="143"/>
      <c r="G530" s="142"/>
      <c r="H530" s="144">
        <f t="shared" si="63"/>
        <v>3967</v>
      </c>
      <c r="I530" s="145"/>
      <c r="J530" s="145"/>
      <c r="K530" s="145"/>
      <c r="L530" s="145">
        <v>3967</v>
      </c>
      <c r="M530" s="146"/>
      <c r="N530" s="146"/>
      <c r="O530" s="147"/>
      <c r="P530" s="25"/>
    </row>
    <row r="531" spans="1:16" ht="31.5" hidden="1">
      <c r="A531" s="559"/>
      <c r="B531" s="561"/>
      <c r="C531" s="148"/>
      <c r="D531" s="259" t="s">
        <v>1329</v>
      </c>
      <c r="E531" s="142"/>
      <c r="F531" s="143"/>
      <c r="G531" s="142"/>
      <c r="H531" s="144">
        <f t="shared" si="63"/>
        <v>0</v>
      </c>
      <c r="I531" s="145"/>
      <c r="J531" s="145"/>
      <c r="K531" s="145"/>
      <c r="L531" s="145"/>
      <c r="M531" s="146"/>
      <c r="N531" s="146"/>
      <c r="O531" s="147"/>
      <c r="P531" s="25"/>
    </row>
    <row r="532" spans="1:16" ht="63" hidden="1">
      <c r="A532" s="559"/>
      <c r="B532" s="561"/>
      <c r="C532" s="148"/>
      <c r="D532" s="14" t="s">
        <v>1356</v>
      </c>
      <c r="E532" s="142"/>
      <c r="F532" s="143"/>
      <c r="G532" s="142"/>
      <c r="H532" s="144">
        <f t="shared" si="63"/>
        <v>0</v>
      </c>
      <c r="I532" s="145"/>
      <c r="J532" s="145"/>
      <c r="K532" s="145"/>
      <c r="L532" s="145"/>
      <c r="M532" s="146"/>
      <c r="N532" s="146"/>
      <c r="O532" s="147"/>
      <c r="P532" s="25"/>
    </row>
    <row r="533" spans="1:16" ht="63" hidden="1">
      <c r="A533" s="559"/>
      <c r="B533" s="561"/>
      <c r="C533" s="148"/>
      <c r="D533" s="14" t="s">
        <v>638</v>
      </c>
      <c r="E533" s="142"/>
      <c r="F533" s="143"/>
      <c r="G533" s="142"/>
      <c r="H533" s="144">
        <f t="shared" si="63"/>
        <v>0</v>
      </c>
      <c r="I533" s="145"/>
      <c r="J533" s="145"/>
      <c r="K533" s="145"/>
      <c r="L533" s="145"/>
      <c r="M533" s="146"/>
      <c r="N533" s="146"/>
      <c r="O533" s="147"/>
      <c r="P533" s="25"/>
    </row>
    <row r="534" spans="1:16" ht="31.5" hidden="1">
      <c r="A534" s="613"/>
      <c r="B534" s="562"/>
      <c r="C534" s="148"/>
      <c r="D534" s="141" t="s">
        <v>1330</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1102</v>
      </c>
      <c r="B539" s="261" t="s">
        <v>213</v>
      </c>
      <c r="C539" s="135"/>
      <c r="D539" s="141" t="s">
        <v>214</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1755</v>
      </c>
      <c r="B540" s="227" t="s">
        <v>1956</v>
      </c>
      <c r="C540" s="167" t="s">
        <v>1957</v>
      </c>
      <c r="D540" s="196"/>
      <c r="E540" s="142"/>
      <c r="F540" s="143"/>
      <c r="G540" s="142"/>
      <c r="H540" s="144">
        <f t="shared" si="66"/>
        <v>0</v>
      </c>
      <c r="I540" s="145"/>
      <c r="J540" s="145"/>
      <c r="K540" s="165"/>
      <c r="L540" s="145"/>
      <c r="M540" s="146"/>
      <c r="N540" s="146"/>
      <c r="O540" s="147"/>
      <c r="P540" s="25"/>
    </row>
    <row r="541" spans="1:16" ht="15.75" customHeight="1">
      <c r="A541" s="558" t="s">
        <v>304</v>
      </c>
      <c r="B541" s="560" t="s">
        <v>1579</v>
      </c>
      <c r="C541" s="195"/>
      <c r="D541" s="216" t="s">
        <v>1456</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59"/>
      <c r="B542" s="561"/>
      <c r="C542" s="167" t="s">
        <v>1580</v>
      </c>
      <c r="D542" s="141" t="s">
        <v>1581</v>
      </c>
      <c r="E542" s="142"/>
      <c r="F542" s="143"/>
      <c r="G542" s="142"/>
      <c r="H542" s="144">
        <f t="shared" si="66"/>
        <v>0</v>
      </c>
      <c r="I542" s="145"/>
      <c r="J542" s="145"/>
      <c r="K542" s="145"/>
      <c r="L542" s="145"/>
      <c r="M542" s="146"/>
      <c r="N542" s="146"/>
      <c r="O542" s="147"/>
      <c r="P542" s="25"/>
    </row>
    <row r="543" spans="1:16" ht="31.5" customHeight="1" hidden="1">
      <c r="A543" s="559"/>
      <c r="B543" s="561"/>
      <c r="C543" s="167" t="s">
        <v>1582</v>
      </c>
      <c r="D543" s="208" t="s">
        <v>1277</v>
      </c>
      <c r="E543" s="142"/>
      <c r="F543" s="143"/>
      <c r="G543" s="142"/>
      <c r="H543" s="144">
        <f t="shared" si="66"/>
        <v>0</v>
      </c>
      <c r="I543" s="145"/>
      <c r="J543" s="145"/>
      <c r="K543" s="145"/>
      <c r="L543" s="145"/>
      <c r="M543" s="146"/>
      <c r="N543" s="146"/>
      <c r="O543" s="147"/>
      <c r="P543" s="25"/>
    </row>
    <row r="544" spans="1:16" ht="47.25" customHeight="1" hidden="1">
      <c r="A544" s="559"/>
      <c r="B544" s="561"/>
      <c r="C544" s="167" t="s">
        <v>1278</v>
      </c>
      <c r="D544" s="208" t="s">
        <v>1552</v>
      </c>
      <c r="E544" s="142"/>
      <c r="F544" s="143"/>
      <c r="G544" s="142"/>
      <c r="H544" s="144">
        <f t="shared" si="66"/>
        <v>0</v>
      </c>
      <c r="I544" s="145"/>
      <c r="J544" s="145"/>
      <c r="K544" s="145"/>
      <c r="L544" s="145"/>
      <c r="M544" s="146"/>
      <c r="N544" s="146"/>
      <c r="O544" s="147"/>
      <c r="P544" s="25"/>
    </row>
    <row r="545" spans="1:16" ht="47.25" customHeight="1" hidden="1">
      <c r="A545" s="559"/>
      <c r="B545" s="561"/>
      <c r="C545" s="167" t="s">
        <v>1553</v>
      </c>
      <c r="D545" s="141" t="s">
        <v>1554</v>
      </c>
      <c r="E545" s="142"/>
      <c r="F545" s="143"/>
      <c r="G545" s="142"/>
      <c r="H545" s="144">
        <f t="shared" si="66"/>
        <v>0</v>
      </c>
      <c r="I545" s="145"/>
      <c r="J545" s="145"/>
      <c r="K545" s="145"/>
      <c r="L545" s="145"/>
      <c r="M545" s="146"/>
      <c r="N545" s="146"/>
      <c r="O545" s="147"/>
      <c r="P545" s="25"/>
    </row>
    <row r="546" spans="1:16" ht="47.25">
      <c r="A546" s="559"/>
      <c r="B546" s="561"/>
      <c r="C546" s="167" t="s">
        <v>1555</v>
      </c>
      <c r="D546" s="141" t="s">
        <v>436</v>
      </c>
      <c r="E546" s="142"/>
      <c r="F546" s="143"/>
      <c r="G546" s="142"/>
      <c r="H546" s="144">
        <f t="shared" si="66"/>
        <v>6400</v>
      </c>
      <c r="I546" s="145"/>
      <c r="J546" s="145"/>
      <c r="K546" s="145"/>
      <c r="L546" s="145">
        <v>6400</v>
      </c>
      <c r="M546" s="146"/>
      <c r="N546" s="146"/>
      <c r="O546" s="147"/>
      <c r="P546" s="25"/>
    </row>
    <row r="547" spans="1:16" ht="31.5" customHeight="1" hidden="1">
      <c r="A547" s="559"/>
      <c r="B547" s="561"/>
      <c r="C547" s="167"/>
      <c r="D547" s="208" t="s">
        <v>2</v>
      </c>
      <c r="E547" s="142"/>
      <c r="F547" s="143"/>
      <c r="G547" s="142"/>
      <c r="H547" s="144">
        <f t="shared" si="66"/>
        <v>0</v>
      </c>
      <c r="I547" s="145"/>
      <c r="J547" s="145"/>
      <c r="K547" s="145"/>
      <c r="L547" s="145"/>
      <c r="M547" s="146"/>
      <c r="N547" s="146"/>
      <c r="O547" s="147"/>
      <c r="P547" s="25"/>
    </row>
    <row r="548" spans="1:16" ht="47.25">
      <c r="A548" s="559"/>
      <c r="B548" s="561"/>
      <c r="C548" s="167" t="s">
        <v>3</v>
      </c>
      <c r="D548" s="141" t="s">
        <v>780</v>
      </c>
      <c r="E548" s="142"/>
      <c r="F548" s="143"/>
      <c r="G548" s="142"/>
      <c r="H548" s="144">
        <f t="shared" si="66"/>
        <v>24480</v>
      </c>
      <c r="I548" s="145"/>
      <c r="J548" s="145"/>
      <c r="K548" s="145"/>
      <c r="L548" s="145">
        <v>24480</v>
      </c>
      <c r="M548" s="146"/>
      <c r="N548" s="146"/>
      <c r="O548" s="147"/>
      <c r="P548" s="25"/>
    </row>
    <row r="549" spans="1:16" ht="31.5">
      <c r="A549" s="559"/>
      <c r="B549" s="561"/>
      <c r="C549" s="167"/>
      <c r="D549" s="14" t="s">
        <v>639</v>
      </c>
      <c r="E549" s="142"/>
      <c r="F549" s="143"/>
      <c r="G549" s="142"/>
      <c r="H549" s="144">
        <f t="shared" si="66"/>
        <v>82900</v>
      </c>
      <c r="I549" s="145"/>
      <c r="J549" s="145"/>
      <c r="K549" s="145"/>
      <c r="L549" s="241">
        <v>82900</v>
      </c>
      <c r="M549" s="146"/>
      <c r="N549" s="146"/>
      <c r="O549" s="147"/>
      <c r="P549" s="25"/>
    </row>
    <row r="550" spans="1:16" ht="31.5">
      <c r="A550" s="559"/>
      <c r="B550" s="561"/>
      <c r="C550" s="167"/>
      <c r="D550" s="14" t="s">
        <v>640</v>
      </c>
      <c r="E550" s="142"/>
      <c r="F550" s="143"/>
      <c r="G550" s="142"/>
      <c r="H550" s="144">
        <f t="shared" si="66"/>
        <v>14000</v>
      </c>
      <c r="I550" s="145"/>
      <c r="J550" s="145"/>
      <c r="K550" s="145"/>
      <c r="L550" s="241">
        <v>14000</v>
      </c>
      <c r="M550" s="146"/>
      <c r="N550" s="146"/>
      <c r="O550" s="147"/>
      <c r="P550" s="25"/>
    </row>
    <row r="551" spans="1:16" ht="31.5">
      <c r="A551" s="559"/>
      <c r="B551" s="561"/>
      <c r="C551" s="167"/>
      <c r="D551" s="262" t="s">
        <v>641</v>
      </c>
      <c r="E551" s="142"/>
      <c r="F551" s="143"/>
      <c r="G551" s="142"/>
      <c r="H551" s="144">
        <f t="shared" si="66"/>
        <v>40000</v>
      </c>
      <c r="I551" s="145"/>
      <c r="J551" s="145"/>
      <c r="K551" s="145"/>
      <c r="L551" s="241">
        <v>40000</v>
      </c>
      <c r="M551" s="146"/>
      <c r="N551" s="146"/>
      <c r="O551" s="147"/>
      <c r="P551" s="25"/>
    </row>
    <row r="552" spans="1:16" ht="31.5">
      <c r="A552" s="559"/>
      <c r="B552" s="561"/>
      <c r="C552" s="167"/>
      <c r="D552" s="262" t="s">
        <v>22</v>
      </c>
      <c r="E552" s="142"/>
      <c r="F552" s="143"/>
      <c r="G552" s="142"/>
      <c r="H552" s="144">
        <f t="shared" si="66"/>
        <v>31000</v>
      </c>
      <c r="I552" s="145"/>
      <c r="J552" s="145"/>
      <c r="K552" s="145"/>
      <c r="L552" s="241">
        <v>31000</v>
      </c>
      <c r="M552" s="146"/>
      <c r="N552" s="146"/>
      <c r="O552" s="147"/>
      <c r="P552" s="25"/>
    </row>
    <row r="553" spans="1:16" ht="63">
      <c r="A553" s="559"/>
      <c r="B553" s="561"/>
      <c r="C553" s="167"/>
      <c r="D553" s="262" t="s">
        <v>2052</v>
      </c>
      <c r="E553" s="142"/>
      <c r="F553" s="143"/>
      <c r="G553" s="142"/>
      <c r="H553" s="144">
        <f t="shared" si="66"/>
        <v>12000</v>
      </c>
      <c r="I553" s="145"/>
      <c r="J553" s="145"/>
      <c r="K553" s="145"/>
      <c r="L553" s="241">
        <v>12000</v>
      </c>
      <c r="M553" s="146"/>
      <c r="N553" s="146"/>
      <c r="O553" s="147"/>
      <c r="P553" s="25"/>
    </row>
    <row r="554" spans="1:16" ht="48" customHeight="1">
      <c r="A554" s="559"/>
      <c r="B554" s="561"/>
      <c r="C554" s="167"/>
      <c r="D554" s="262" t="s">
        <v>1469</v>
      </c>
      <c r="E554" s="142"/>
      <c r="F554" s="143"/>
      <c r="G554" s="142"/>
      <c r="H554" s="144">
        <f t="shared" si="66"/>
        <v>12800</v>
      </c>
      <c r="I554" s="145"/>
      <c r="J554" s="145"/>
      <c r="K554" s="145"/>
      <c r="L554" s="241">
        <v>12800</v>
      </c>
      <c r="M554" s="146"/>
      <c r="N554" s="146"/>
      <c r="O554" s="147"/>
      <c r="P554" s="25"/>
    </row>
    <row r="555" spans="1:16" ht="31.5">
      <c r="A555" s="613"/>
      <c r="B555" s="562"/>
      <c r="C555" s="167"/>
      <c r="D555" s="263" t="s">
        <v>1470</v>
      </c>
      <c r="E555" s="142"/>
      <c r="F555" s="143"/>
      <c r="G555" s="142"/>
      <c r="H555" s="144">
        <f t="shared" si="66"/>
        <v>10000</v>
      </c>
      <c r="I555" s="145"/>
      <c r="J555" s="145"/>
      <c r="K555" s="145"/>
      <c r="L555" s="241">
        <v>10000</v>
      </c>
      <c r="M555" s="146"/>
      <c r="N555" s="146"/>
      <c r="O555" s="147"/>
      <c r="P555" s="25"/>
    </row>
    <row r="556" spans="1:16" ht="37.5" customHeight="1" hidden="1">
      <c r="A556" s="260" t="s">
        <v>1447</v>
      </c>
      <c r="B556" s="227" t="s">
        <v>1448</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1645</v>
      </c>
      <c r="B558" s="584" t="s">
        <v>862</v>
      </c>
      <c r="C558" s="584"/>
      <c r="D558" s="584"/>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81" t="s">
        <v>1756</v>
      </c>
      <c r="B559" s="605" t="s">
        <v>1458</v>
      </c>
      <c r="C559" s="195"/>
      <c r="D559" s="136" t="s">
        <v>781</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82"/>
      <c r="B560" s="607"/>
      <c r="C560" s="135" t="s">
        <v>1197</v>
      </c>
      <c r="D560" s="141" t="s">
        <v>1198</v>
      </c>
      <c r="E560" s="142"/>
      <c r="F560" s="143"/>
      <c r="G560" s="142"/>
      <c r="H560" s="144">
        <f t="shared" si="68"/>
        <v>0</v>
      </c>
      <c r="I560" s="145"/>
      <c r="J560" s="145"/>
      <c r="K560" s="145"/>
      <c r="L560" s="145">
        <f>42.6-42.6</f>
        <v>0</v>
      </c>
      <c r="M560" s="146"/>
      <c r="N560" s="146"/>
      <c r="O560" s="239"/>
      <c r="P560" s="25"/>
    </row>
    <row r="561" spans="1:17" s="45" customFormat="1" ht="31.5" customHeight="1" hidden="1">
      <c r="A561" s="582"/>
      <c r="B561" s="607"/>
      <c r="C561" s="135" t="s">
        <v>782</v>
      </c>
      <c r="D561" s="141" t="s">
        <v>783</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1646</v>
      </c>
      <c r="B563" s="584" t="s">
        <v>784</v>
      </c>
      <c r="C563" s="584"/>
      <c r="D563" s="584"/>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81" t="s">
        <v>1756</v>
      </c>
      <c r="B564" s="605" t="s">
        <v>1458</v>
      </c>
      <c r="C564" s="135"/>
      <c r="D564" s="136" t="s">
        <v>1456</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82"/>
      <c r="B565" s="607"/>
      <c r="C565" s="135" t="s">
        <v>1197</v>
      </c>
      <c r="D565" s="141" t="s">
        <v>1198</v>
      </c>
      <c r="E565" s="142"/>
      <c r="F565" s="143"/>
      <c r="G565" s="142"/>
      <c r="H565" s="144">
        <f t="shared" si="68"/>
        <v>0</v>
      </c>
      <c r="I565" s="145"/>
      <c r="J565" s="145"/>
      <c r="K565" s="145"/>
      <c r="L565" s="145"/>
      <c r="M565" s="146"/>
      <c r="N565" s="146"/>
      <c r="O565" s="239"/>
      <c r="P565" s="25"/>
      <c r="Q565" s="22"/>
    </row>
    <row r="566" spans="1:17" s="30" customFormat="1" ht="15.75">
      <c r="A566" s="235">
        <v>100000</v>
      </c>
      <c r="B566" s="555" t="s">
        <v>785</v>
      </c>
      <c r="C566" s="556"/>
      <c r="D566" s="557"/>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86">
        <v>100102</v>
      </c>
      <c r="B567" s="586" t="s">
        <v>786</v>
      </c>
      <c r="C567" s="135"/>
      <c r="D567" s="216" t="s">
        <v>1456</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86"/>
      <c r="B568" s="586"/>
      <c r="C568" s="135" t="s">
        <v>787</v>
      </c>
      <c r="D568" s="217" t="s">
        <v>788</v>
      </c>
      <c r="E568" s="142"/>
      <c r="F568" s="143"/>
      <c r="G568" s="142"/>
      <c r="H568" s="144">
        <f t="shared" si="68"/>
        <v>0</v>
      </c>
      <c r="I568" s="145"/>
      <c r="J568" s="145"/>
      <c r="K568" s="145"/>
      <c r="L568" s="145"/>
      <c r="M568" s="146"/>
      <c r="N568" s="146"/>
      <c r="O568" s="147"/>
      <c r="P568" s="25"/>
      <c r="Q568" s="22"/>
    </row>
    <row r="569" spans="1:17" s="45" customFormat="1" ht="47.25">
      <c r="A569" s="586"/>
      <c r="B569" s="586"/>
      <c r="C569" s="135" t="s">
        <v>789</v>
      </c>
      <c r="D569" s="217" t="s">
        <v>790</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86"/>
      <c r="B570" s="586"/>
      <c r="C570" s="135"/>
      <c r="D570" s="265" t="s">
        <v>575</v>
      </c>
      <c r="E570" s="142"/>
      <c r="F570" s="143"/>
      <c r="G570" s="142"/>
      <c r="H570" s="144">
        <f t="shared" si="68"/>
        <v>0</v>
      </c>
      <c r="I570" s="145"/>
      <c r="J570" s="145"/>
      <c r="K570" s="145"/>
      <c r="L570" s="145"/>
      <c r="M570" s="146"/>
      <c r="N570" s="146"/>
      <c r="O570" s="147"/>
      <c r="P570" s="25"/>
      <c r="Q570" s="22"/>
    </row>
    <row r="571" spans="1:17" s="45" customFormat="1" ht="31.5" hidden="1">
      <c r="A571" s="586"/>
      <c r="B571" s="586"/>
      <c r="C571" s="135" t="s">
        <v>576</v>
      </c>
      <c r="D571" s="68" t="s">
        <v>577</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86"/>
      <c r="B572" s="586"/>
      <c r="C572" s="135" t="s">
        <v>578</v>
      </c>
      <c r="D572" s="68" t="s">
        <v>651</v>
      </c>
      <c r="E572" s="142"/>
      <c r="F572" s="143"/>
      <c r="G572" s="142"/>
      <c r="H572" s="144">
        <f t="shared" si="68"/>
        <v>0</v>
      </c>
      <c r="I572" s="145"/>
      <c r="J572" s="145"/>
      <c r="K572" s="145"/>
      <c r="L572" s="49"/>
      <c r="M572" s="146"/>
      <c r="N572" s="146"/>
      <c r="O572" s="147"/>
      <c r="P572" s="25"/>
      <c r="Q572" s="22"/>
    </row>
    <row r="573" spans="1:17" s="45" customFormat="1" ht="63" hidden="1">
      <c r="A573" s="586"/>
      <c r="B573" s="586"/>
      <c r="C573" s="135" t="s">
        <v>652</v>
      </c>
      <c r="D573" s="68" t="s">
        <v>795</v>
      </c>
      <c r="E573" s="142"/>
      <c r="F573" s="143"/>
      <c r="G573" s="142"/>
      <c r="H573" s="144">
        <f t="shared" si="68"/>
        <v>0</v>
      </c>
      <c r="I573" s="145"/>
      <c r="J573" s="145"/>
      <c r="K573" s="145"/>
      <c r="L573" s="49"/>
      <c r="M573" s="146"/>
      <c r="N573" s="146"/>
      <c r="O573" s="147"/>
      <c r="P573" s="25"/>
      <c r="Q573" s="22"/>
    </row>
    <row r="574" spans="1:16" ht="63" hidden="1">
      <c r="A574" s="586"/>
      <c r="B574" s="586"/>
      <c r="C574" s="135" t="s">
        <v>796</v>
      </c>
      <c r="D574" s="68" t="s">
        <v>755</v>
      </c>
      <c r="E574" s="142"/>
      <c r="F574" s="143"/>
      <c r="G574" s="142"/>
      <c r="H574" s="144">
        <f t="shared" si="68"/>
        <v>0</v>
      </c>
      <c r="I574" s="145"/>
      <c r="J574" s="145"/>
      <c r="K574" s="145"/>
      <c r="L574" s="49"/>
      <c r="M574" s="146"/>
      <c r="N574" s="146"/>
      <c r="O574" s="147"/>
      <c r="P574" s="25"/>
    </row>
    <row r="575" spans="1:16" ht="15.75" hidden="1">
      <c r="A575" s="586"/>
      <c r="B575" s="586"/>
      <c r="C575" s="135"/>
      <c r="D575" s="68" t="s">
        <v>1891</v>
      </c>
      <c r="E575" s="142"/>
      <c r="F575" s="143"/>
      <c r="G575" s="142"/>
      <c r="H575" s="144">
        <f t="shared" si="68"/>
        <v>0</v>
      </c>
      <c r="I575" s="145"/>
      <c r="J575" s="145"/>
      <c r="K575" s="145"/>
      <c r="L575" s="49"/>
      <c r="M575" s="146"/>
      <c r="N575" s="146"/>
      <c r="O575" s="147"/>
      <c r="P575" s="25"/>
    </row>
    <row r="576" spans="1:16" ht="47.25" hidden="1">
      <c r="A576" s="586"/>
      <c r="B576" s="586"/>
      <c r="C576" s="135"/>
      <c r="D576" s="68" t="s">
        <v>1892</v>
      </c>
      <c r="E576" s="142"/>
      <c r="F576" s="143"/>
      <c r="G576" s="142"/>
      <c r="H576" s="144">
        <f t="shared" si="68"/>
        <v>0</v>
      </c>
      <c r="I576" s="145"/>
      <c r="J576" s="145"/>
      <c r="K576" s="145"/>
      <c r="L576" s="49"/>
      <c r="M576" s="146"/>
      <c r="N576" s="146"/>
      <c r="O576" s="147"/>
      <c r="P576" s="25"/>
    </row>
    <row r="577" spans="1:16" ht="47.25" hidden="1">
      <c r="A577" s="586"/>
      <c r="B577" s="586"/>
      <c r="C577" s="135"/>
      <c r="D577" s="68" t="s">
        <v>1893</v>
      </c>
      <c r="E577" s="142"/>
      <c r="F577" s="143"/>
      <c r="G577" s="142"/>
      <c r="H577" s="144">
        <f t="shared" si="68"/>
        <v>0</v>
      </c>
      <c r="I577" s="145"/>
      <c r="J577" s="145"/>
      <c r="K577" s="145"/>
      <c r="L577" s="49"/>
      <c r="M577" s="146"/>
      <c r="N577" s="146"/>
      <c r="O577" s="147"/>
      <c r="P577" s="25"/>
    </row>
    <row r="578" spans="1:16" ht="31.5" hidden="1">
      <c r="A578" s="586"/>
      <c r="B578" s="586"/>
      <c r="C578" s="135"/>
      <c r="D578" s="68" t="s">
        <v>1319</v>
      </c>
      <c r="E578" s="142"/>
      <c r="F578" s="143"/>
      <c r="G578" s="142"/>
      <c r="H578" s="144">
        <f t="shared" si="68"/>
        <v>0</v>
      </c>
      <c r="I578" s="145"/>
      <c r="J578" s="145"/>
      <c r="K578" s="145"/>
      <c r="L578" s="49"/>
      <c r="M578" s="146"/>
      <c r="N578" s="146"/>
      <c r="O578" s="147"/>
      <c r="P578" s="25"/>
    </row>
    <row r="579" spans="1:16" ht="31.5" hidden="1">
      <c r="A579" s="586"/>
      <c r="B579" s="586"/>
      <c r="C579" s="135"/>
      <c r="D579" s="68" t="s">
        <v>1361</v>
      </c>
      <c r="E579" s="142"/>
      <c r="F579" s="143"/>
      <c r="G579" s="142"/>
      <c r="H579" s="144">
        <f t="shared" si="68"/>
        <v>0</v>
      </c>
      <c r="I579" s="145"/>
      <c r="J579" s="145"/>
      <c r="K579" s="145"/>
      <c r="L579" s="49"/>
      <c r="M579" s="146"/>
      <c r="N579" s="146"/>
      <c r="O579" s="147"/>
      <c r="P579" s="25"/>
    </row>
    <row r="580" spans="1:16" ht="31.5" hidden="1">
      <c r="A580" s="586"/>
      <c r="B580" s="586"/>
      <c r="C580" s="135"/>
      <c r="D580" s="68" t="s">
        <v>860</v>
      </c>
      <c r="E580" s="142"/>
      <c r="F580" s="143"/>
      <c r="G580" s="142"/>
      <c r="H580" s="144">
        <f t="shared" si="68"/>
        <v>0</v>
      </c>
      <c r="I580" s="145"/>
      <c r="J580" s="145"/>
      <c r="K580" s="145"/>
      <c r="L580" s="49"/>
      <c r="M580" s="146"/>
      <c r="N580" s="146"/>
      <c r="O580" s="147"/>
      <c r="P580" s="25"/>
    </row>
    <row r="581" spans="1:16" ht="31.5" hidden="1">
      <c r="A581" s="586"/>
      <c r="B581" s="586"/>
      <c r="C581" s="135"/>
      <c r="D581" s="68" t="s">
        <v>1464</v>
      </c>
      <c r="E581" s="142"/>
      <c r="F581" s="143"/>
      <c r="G581" s="142"/>
      <c r="H581" s="144">
        <f t="shared" si="68"/>
        <v>0</v>
      </c>
      <c r="I581" s="145"/>
      <c r="J581" s="145"/>
      <c r="K581" s="145"/>
      <c r="L581" s="49"/>
      <c r="M581" s="146"/>
      <c r="N581" s="146"/>
      <c r="O581" s="147"/>
      <c r="P581" s="25"/>
    </row>
    <row r="582" spans="1:16" ht="31.5" hidden="1">
      <c r="A582" s="586"/>
      <c r="B582" s="586"/>
      <c r="C582" s="135"/>
      <c r="D582" s="68" t="s">
        <v>591</v>
      </c>
      <c r="E582" s="142"/>
      <c r="F582" s="143"/>
      <c r="G582" s="142"/>
      <c r="H582" s="144">
        <f t="shared" si="68"/>
        <v>0</v>
      </c>
      <c r="I582" s="145"/>
      <c r="J582" s="145"/>
      <c r="K582" s="145"/>
      <c r="L582" s="49"/>
      <c r="M582" s="146"/>
      <c r="N582" s="146"/>
      <c r="O582" s="147"/>
      <c r="P582" s="25"/>
    </row>
    <row r="583" spans="1:16" ht="47.25" hidden="1">
      <c r="A583" s="586"/>
      <c r="B583" s="586"/>
      <c r="C583" s="135"/>
      <c r="D583" s="68" t="s">
        <v>592</v>
      </c>
      <c r="E583" s="142"/>
      <c r="F583" s="143"/>
      <c r="G583" s="142"/>
      <c r="H583" s="144">
        <f t="shared" si="68"/>
        <v>0</v>
      </c>
      <c r="I583" s="145"/>
      <c r="J583" s="145"/>
      <c r="K583" s="145"/>
      <c r="L583" s="49"/>
      <c r="M583" s="146"/>
      <c r="N583" s="146"/>
      <c r="O583" s="147"/>
      <c r="P583" s="25"/>
    </row>
    <row r="584" spans="1:16" ht="31.5" hidden="1">
      <c r="A584" s="586"/>
      <c r="B584" s="586"/>
      <c r="C584" s="135"/>
      <c r="D584" s="68" t="s">
        <v>423</v>
      </c>
      <c r="E584" s="142"/>
      <c r="F584" s="143"/>
      <c r="G584" s="142"/>
      <c r="H584" s="144">
        <f t="shared" si="68"/>
        <v>0</v>
      </c>
      <c r="I584" s="145"/>
      <c r="J584" s="145"/>
      <c r="K584" s="145"/>
      <c r="L584" s="49"/>
      <c r="M584" s="146"/>
      <c r="N584" s="146"/>
      <c r="O584" s="147"/>
      <c r="P584" s="25"/>
    </row>
    <row r="585" spans="1:16" ht="15.75" hidden="1">
      <c r="A585" s="586"/>
      <c r="B585" s="586"/>
      <c r="C585" s="135"/>
      <c r="D585" s="68" t="s">
        <v>424</v>
      </c>
      <c r="E585" s="142"/>
      <c r="F585" s="143"/>
      <c r="G585" s="142"/>
      <c r="H585" s="144">
        <f t="shared" si="68"/>
        <v>0</v>
      </c>
      <c r="I585" s="145"/>
      <c r="J585" s="145"/>
      <c r="K585" s="145"/>
      <c r="L585" s="49"/>
      <c r="M585" s="146"/>
      <c r="N585" s="146"/>
      <c r="O585" s="147"/>
      <c r="P585" s="25"/>
    </row>
    <row r="586" spans="1:16" ht="31.5" hidden="1">
      <c r="A586" s="586"/>
      <c r="B586" s="586"/>
      <c r="C586" s="135"/>
      <c r="D586" s="68" t="s">
        <v>425</v>
      </c>
      <c r="E586" s="142"/>
      <c r="F586" s="143"/>
      <c r="G586" s="142"/>
      <c r="H586" s="144">
        <f t="shared" si="68"/>
        <v>0</v>
      </c>
      <c r="I586" s="145"/>
      <c r="J586" s="145"/>
      <c r="K586" s="145"/>
      <c r="L586" s="49"/>
      <c r="M586" s="146"/>
      <c r="N586" s="146"/>
      <c r="O586" s="147"/>
      <c r="P586" s="25"/>
    </row>
    <row r="587" spans="1:16" ht="31.5" hidden="1">
      <c r="A587" s="586"/>
      <c r="B587" s="586"/>
      <c r="C587" s="135"/>
      <c r="D587" s="68" t="s">
        <v>0</v>
      </c>
      <c r="E587" s="142"/>
      <c r="F587" s="143"/>
      <c r="G587" s="142"/>
      <c r="H587" s="144">
        <f t="shared" si="68"/>
        <v>0</v>
      </c>
      <c r="I587" s="145"/>
      <c r="J587" s="145"/>
      <c r="K587" s="145"/>
      <c r="L587" s="49"/>
      <c r="M587" s="146"/>
      <c r="N587" s="146"/>
      <c r="O587" s="147"/>
      <c r="P587" s="25"/>
    </row>
    <row r="588" spans="1:16" ht="31.5" hidden="1">
      <c r="A588" s="586"/>
      <c r="B588" s="586"/>
      <c r="C588" s="135"/>
      <c r="D588" s="68" t="s">
        <v>1</v>
      </c>
      <c r="E588" s="142"/>
      <c r="F588" s="143"/>
      <c r="G588" s="142"/>
      <c r="H588" s="144">
        <f t="shared" si="68"/>
        <v>0</v>
      </c>
      <c r="I588" s="145"/>
      <c r="J588" s="145"/>
      <c r="K588" s="145"/>
      <c r="L588" s="49"/>
      <c r="M588" s="146"/>
      <c r="N588" s="146"/>
      <c r="O588" s="147"/>
      <c r="P588" s="25"/>
    </row>
    <row r="589" spans="1:16" ht="31.5" hidden="1">
      <c r="A589" s="586"/>
      <c r="B589" s="586"/>
      <c r="C589" s="135"/>
      <c r="D589" s="68" t="s">
        <v>546</v>
      </c>
      <c r="E589" s="142"/>
      <c r="F589" s="143"/>
      <c r="G589" s="142"/>
      <c r="H589" s="144">
        <f t="shared" si="68"/>
        <v>0</v>
      </c>
      <c r="I589" s="145"/>
      <c r="J589" s="145"/>
      <c r="K589" s="145"/>
      <c r="L589" s="49"/>
      <c r="M589" s="146"/>
      <c r="N589" s="146"/>
      <c r="O589" s="147"/>
      <c r="P589" s="25"/>
    </row>
    <row r="590" spans="1:16" ht="31.5" hidden="1">
      <c r="A590" s="586"/>
      <c r="B590" s="586"/>
      <c r="C590" s="135"/>
      <c r="D590" s="68" t="s">
        <v>547</v>
      </c>
      <c r="E590" s="142"/>
      <c r="F590" s="143"/>
      <c r="G590" s="142"/>
      <c r="H590" s="144">
        <f t="shared" si="68"/>
        <v>0</v>
      </c>
      <c r="I590" s="145"/>
      <c r="J590" s="145"/>
      <c r="K590" s="145"/>
      <c r="L590" s="49"/>
      <c r="M590" s="146"/>
      <c r="N590" s="146"/>
      <c r="O590" s="147"/>
      <c r="P590" s="25"/>
    </row>
    <row r="591" spans="1:16" ht="31.5" hidden="1">
      <c r="A591" s="586"/>
      <c r="B591" s="586"/>
      <c r="C591" s="135"/>
      <c r="D591" s="68" t="s">
        <v>1940</v>
      </c>
      <c r="E591" s="142"/>
      <c r="F591" s="143"/>
      <c r="G591" s="142"/>
      <c r="H591" s="144">
        <f t="shared" si="68"/>
        <v>0</v>
      </c>
      <c r="I591" s="145"/>
      <c r="J591" s="145"/>
      <c r="K591" s="145"/>
      <c r="L591" s="49"/>
      <c r="M591" s="146"/>
      <c r="N591" s="146"/>
      <c r="O591" s="147"/>
      <c r="P591" s="25"/>
    </row>
    <row r="592" spans="1:16" ht="15.75" hidden="1">
      <c r="A592" s="586"/>
      <c r="B592" s="586"/>
      <c r="C592" s="135"/>
      <c r="D592" s="68" t="s">
        <v>1941</v>
      </c>
      <c r="E592" s="142"/>
      <c r="F592" s="143"/>
      <c r="G592" s="142"/>
      <c r="H592" s="144">
        <f t="shared" si="68"/>
        <v>0</v>
      </c>
      <c r="I592" s="145"/>
      <c r="J592" s="145"/>
      <c r="K592" s="145"/>
      <c r="L592" s="49"/>
      <c r="M592" s="146"/>
      <c r="N592" s="146"/>
      <c r="O592" s="147"/>
      <c r="P592" s="25"/>
    </row>
    <row r="593" spans="1:17" s="45" customFormat="1" ht="31.5" hidden="1">
      <c r="A593" s="586"/>
      <c r="B593" s="586"/>
      <c r="C593" s="135"/>
      <c r="D593" s="68" t="s">
        <v>1942</v>
      </c>
      <c r="E593" s="142"/>
      <c r="F593" s="143"/>
      <c r="G593" s="142"/>
      <c r="H593" s="144">
        <f t="shared" si="68"/>
        <v>0</v>
      </c>
      <c r="I593" s="145"/>
      <c r="J593" s="145"/>
      <c r="K593" s="145"/>
      <c r="L593" s="49"/>
      <c r="M593" s="146"/>
      <c r="N593" s="146"/>
      <c r="O593" s="147"/>
      <c r="P593" s="25"/>
      <c r="Q593" s="22"/>
    </row>
    <row r="594" spans="1:17" s="45" customFormat="1" ht="15.75" hidden="1">
      <c r="A594" s="586"/>
      <c r="B594" s="586"/>
      <c r="C594" s="135"/>
      <c r="D594" s="68"/>
      <c r="E594" s="142"/>
      <c r="F594" s="143"/>
      <c r="G594" s="142"/>
      <c r="H594" s="144"/>
      <c r="I594" s="145"/>
      <c r="J594" s="145"/>
      <c r="K594" s="145"/>
      <c r="L594" s="49"/>
      <c r="M594" s="146"/>
      <c r="N594" s="146"/>
      <c r="O594" s="147"/>
      <c r="P594" s="25"/>
      <c r="Q594" s="22"/>
    </row>
    <row r="595" spans="1:17" s="45" customFormat="1" ht="15.75" hidden="1">
      <c r="A595" s="586"/>
      <c r="B595" s="586"/>
      <c r="C595" s="135"/>
      <c r="D595" s="68"/>
      <c r="E595" s="142"/>
      <c r="F595" s="143"/>
      <c r="G595" s="142"/>
      <c r="H595" s="144"/>
      <c r="I595" s="145"/>
      <c r="J595" s="145"/>
      <c r="K595" s="145"/>
      <c r="L595" s="49"/>
      <c r="M595" s="146"/>
      <c r="N595" s="146"/>
      <c r="O595" s="147"/>
      <c r="P595" s="25"/>
      <c r="Q595" s="22"/>
    </row>
    <row r="596" spans="1:17" s="45" customFormat="1" ht="15.75" hidden="1">
      <c r="A596" s="586"/>
      <c r="B596" s="586"/>
      <c r="C596" s="135"/>
      <c r="D596" s="68"/>
      <c r="E596" s="142"/>
      <c r="F596" s="143"/>
      <c r="G596" s="142"/>
      <c r="H596" s="144"/>
      <c r="I596" s="145"/>
      <c r="J596" s="145"/>
      <c r="K596" s="145"/>
      <c r="L596" s="49"/>
      <c r="M596" s="146"/>
      <c r="N596" s="146"/>
      <c r="O596" s="147"/>
      <c r="P596" s="25"/>
      <c r="Q596" s="22"/>
    </row>
    <row r="597" spans="1:17" s="45" customFormat="1" ht="15.75" hidden="1">
      <c r="A597" s="586"/>
      <c r="B597" s="586"/>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86"/>
      <c r="B598" s="586"/>
      <c r="C598" s="135"/>
      <c r="D598" s="68"/>
      <c r="E598" s="142"/>
      <c r="F598" s="143"/>
      <c r="G598" s="142"/>
      <c r="H598" s="144">
        <f t="shared" si="74"/>
        <v>0</v>
      </c>
      <c r="I598" s="145"/>
      <c r="J598" s="145"/>
      <c r="K598" s="145"/>
      <c r="L598" s="49"/>
      <c r="M598" s="146"/>
      <c r="N598" s="146"/>
      <c r="O598" s="147"/>
      <c r="P598" s="25"/>
      <c r="Q598" s="22"/>
    </row>
    <row r="599" spans="1:17" s="45" customFormat="1" ht="47.25" hidden="1">
      <c r="A599" s="586"/>
      <c r="B599" s="586"/>
      <c r="C599" s="135" t="s">
        <v>1943</v>
      </c>
      <c r="D599" s="68" t="s">
        <v>1944</v>
      </c>
      <c r="E599" s="142"/>
      <c r="F599" s="143"/>
      <c r="G599" s="142"/>
      <c r="H599" s="144">
        <f t="shared" si="74"/>
        <v>0</v>
      </c>
      <c r="I599" s="145"/>
      <c r="J599" s="145"/>
      <c r="K599" s="145"/>
      <c r="L599" s="49"/>
      <c r="M599" s="146"/>
      <c r="N599" s="146"/>
      <c r="O599" s="147"/>
      <c r="P599" s="25"/>
      <c r="Q599" s="22"/>
    </row>
    <row r="600" spans="1:63" s="54" customFormat="1" ht="15.75" customHeight="1" hidden="1">
      <c r="A600" s="586">
        <v>100106</v>
      </c>
      <c r="B600" s="586" t="s">
        <v>38</v>
      </c>
      <c r="C600" s="195"/>
      <c r="D600" s="216" t="s">
        <v>1456</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86"/>
      <c r="B601" s="586"/>
      <c r="C601" s="135" t="s">
        <v>1945</v>
      </c>
      <c r="D601" s="217" t="s">
        <v>579</v>
      </c>
      <c r="E601" s="142"/>
      <c r="F601" s="143"/>
      <c r="G601" s="142"/>
      <c r="H601" s="144">
        <f t="shared" si="74"/>
        <v>0</v>
      </c>
      <c r="I601" s="145"/>
      <c r="J601" s="145"/>
      <c r="K601" s="145"/>
      <c r="L601" s="145"/>
      <c r="M601" s="146"/>
      <c r="N601" s="146"/>
      <c r="O601" s="239"/>
      <c r="P601" s="25"/>
      <c r="Q601" s="22"/>
    </row>
    <row r="602" spans="1:17" s="45" customFormat="1" ht="47.25" hidden="1">
      <c r="A602" s="586"/>
      <c r="B602" s="586"/>
      <c r="C602" s="135"/>
      <c r="D602" s="217" t="s">
        <v>520</v>
      </c>
      <c r="E602" s="142"/>
      <c r="F602" s="143"/>
      <c r="G602" s="142"/>
      <c r="H602" s="144">
        <f t="shared" si="74"/>
        <v>0</v>
      </c>
      <c r="I602" s="145"/>
      <c r="J602" s="145"/>
      <c r="K602" s="145"/>
      <c r="L602" s="145"/>
      <c r="M602" s="146"/>
      <c r="N602" s="146"/>
      <c r="O602" s="239"/>
      <c r="P602" s="25"/>
      <c r="Q602" s="22"/>
    </row>
    <row r="603" spans="1:17" s="45" customFormat="1" ht="47.25" hidden="1">
      <c r="A603" s="586"/>
      <c r="B603" s="586"/>
      <c r="C603" s="266" t="s">
        <v>521</v>
      </c>
      <c r="D603" s="217" t="s">
        <v>1928</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605">
        <v>100203</v>
      </c>
      <c r="B604" s="605" t="s">
        <v>201</v>
      </c>
      <c r="C604" s="267"/>
      <c r="D604" s="216" t="s">
        <v>1456</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607"/>
      <c r="B605" s="607"/>
      <c r="C605" s="266"/>
      <c r="D605" s="217" t="s">
        <v>1929</v>
      </c>
      <c r="E605" s="142"/>
      <c r="F605" s="143"/>
      <c r="G605" s="142"/>
      <c r="H605" s="144">
        <f t="shared" si="74"/>
        <v>0</v>
      </c>
      <c r="I605" s="145"/>
      <c r="J605" s="145"/>
      <c r="K605" s="145"/>
      <c r="L605" s="145">
        <f>500-500</f>
        <v>0</v>
      </c>
      <c r="M605" s="146"/>
      <c r="N605" s="146"/>
      <c r="O605" s="146"/>
      <c r="P605" s="25"/>
      <c r="Q605" s="22"/>
    </row>
    <row r="606" spans="1:17" s="45" customFormat="1" ht="31.5" hidden="1">
      <c r="A606" s="607"/>
      <c r="B606" s="607"/>
      <c r="C606" s="266"/>
      <c r="D606" s="14" t="s">
        <v>1981</v>
      </c>
      <c r="E606" s="142"/>
      <c r="F606" s="143"/>
      <c r="G606" s="142"/>
      <c r="H606" s="144">
        <f t="shared" si="74"/>
        <v>0</v>
      </c>
      <c r="I606" s="145"/>
      <c r="J606" s="145"/>
      <c r="K606" s="145"/>
      <c r="L606" s="49"/>
      <c r="M606" s="146"/>
      <c r="N606" s="146"/>
      <c r="O606" s="239"/>
      <c r="P606" s="25"/>
      <c r="Q606" s="22"/>
    </row>
    <row r="607" spans="1:17" s="45" customFormat="1" ht="31.5" hidden="1">
      <c r="A607" s="607"/>
      <c r="B607" s="607"/>
      <c r="C607" s="266"/>
      <c r="D607" s="14" t="s">
        <v>865</v>
      </c>
      <c r="E607" s="142"/>
      <c r="F607" s="143"/>
      <c r="G607" s="142"/>
      <c r="H607" s="144">
        <f t="shared" si="74"/>
        <v>0</v>
      </c>
      <c r="I607" s="145"/>
      <c r="J607" s="145"/>
      <c r="K607" s="145"/>
      <c r="L607" s="49"/>
      <c r="M607" s="146"/>
      <c r="N607" s="146"/>
      <c r="O607" s="239"/>
      <c r="P607" s="25"/>
      <c r="Q607" s="22"/>
    </row>
    <row r="608" spans="1:17" s="45" customFormat="1" ht="31.5" hidden="1">
      <c r="A608" s="607"/>
      <c r="B608" s="607"/>
      <c r="C608" s="266"/>
      <c r="D608" s="14" t="s">
        <v>866</v>
      </c>
      <c r="E608" s="142"/>
      <c r="F608" s="143"/>
      <c r="G608" s="142"/>
      <c r="H608" s="144">
        <f t="shared" si="74"/>
        <v>0</v>
      </c>
      <c r="I608" s="145"/>
      <c r="J608" s="145"/>
      <c r="K608" s="145"/>
      <c r="L608" s="49"/>
      <c r="M608" s="146"/>
      <c r="N608" s="146"/>
      <c r="O608" s="239"/>
      <c r="P608" s="25"/>
      <c r="Q608" s="22"/>
    </row>
    <row r="609" spans="1:17" s="45" customFormat="1" ht="31.5" hidden="1">
      <c r="A609" s="607"/>
      <c r="B609" s="607"/>
      <c r="C609" s="266"/>
      <c r="D609" s="14" t="s">
        <v>52</v>
      </c>
      <c r="E609" s="142"/>
      <c r="F609" s="143"/>
      <c r="G609" s="142"/>
      <c r="H609" s="144">
        <f t="shared" si="74"/>
        <v>0</v>
      </c>
      <c r="I609" s="145"/>
      <c r="J609" s="145"/>
      <c r="K609" s="145"/>
      <c r="L609" s="49"/>
      <c r="M609" s="146"/>
      <c r="N609" s="146"/>
      <c r="O609" s="239"/>
      <c r="P609" s="25"/>
      <c r="Q609" s="22"/>
    </row>
    <row r="610" spans="1:17" s="45" customFormat="1" ht="47.25" hidden="1">
      <c r="A610" s="607"/>
      <c r="B610" s="607"/>
      <c r="C610" s="266"/>
      <c r="D610" s="14" t="s">
        <v>672</v>
      </c>
      <c r="E610" s="142"/>
      <c r="F610" s="143"/>
      <c r="G610" s="142"/>
      <c r="H610" s="144">
        <f t="shared" si="74"/>
        <v>0</v>
      </c>
      <c r="I610" s="145"/>
      <c r="J610" s="145"/>
      <c r="K610" s="145"/>
      <c r="L610" s="49"/>
      <c r="M610" s="146"/>
      <c r="N610" s="146"/>
      <c r="O610" s="239"/>
      <c r="P610" s="25"/>
      <c r="Q610" s="22"/>
    </row>
    <row r="611" spans="1:17" s="45" customFormat="1" ht="31.5" hidden="1">
      <c r="A611" s="607"/>
      <c r="B611" s="607"/>
      <c r="C611" s="266"/>
      <c r="D611" s="14" t="s">
        <v>1463</v>
      </c>
      <c r="E611" s="142"/>
      <c r="F611" s="143"/>
      <c r="G611" s="142"/>
      <c r="H611" s="144">
        <f t="shared" si="74"/>
        <v>0</v>
      </c>
      <c r="I611" s="145"/>
      <c r="J611" s="145"/>
      <c r="K611" s="145"/>
      <c r="L611" s="49"/>
      <c r="M611" s="146"/>
      <c r="N611" s="146"/>
      <c r="O611" s="239"/>
      <c r="P611" s="25"/>
      <c r="Q611" s="22"/>
    </row>
    <row r="612" spans="1:17" s="45" customFormat="1" ht="18.75" hidden="1">
      <c r="A612" s="606"/>
      <c r="B612" s="606"/>
      <c r="C612" s="266"/>
      <c r="D612" s="217" t="s">
        <v>1376</v>
      </c>
      <c r="E612" s="142"/>
      <c r="F612" s="143"/>
      <c r="G612" s="142"/>
      <c r="H612" s="144">
        <f t="shared" si="74"/>
        <v>0</v>
      </c>
      <c r="I612" s="145"/>
      <c r="J612" s="145"/>
      <c r="K612" s="145"/>
      <c r="L612" s="173"/>
      <c r="M612" s="146"/>
      <c r="N612" s="146"/>
      <c r="O612" s="239"/>
      <c r="P612" s="25"/>
      <c r="Q612" s="22"/>
    </row>
    <row r="613" spans="1:63" s="28" customFormat="1" ht="15.75">
      <c r="A613" s="605">
        <v>150101</v>
      </c>
      <c r="B613" s="605" t="s">
        <v>1448</v>
      </c>
      <c r="C613" s="195"/>
      <c r="D613" s="216" t="s">
        <v>1456</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607"/>
      <c r="B614" s="607"/>
      <c r="C614" s="135" t="s">
        <v>1377</v>
      </c>
      <c r="D614" s="14" t="s">
        <v>759</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607"/>
      <c r="B615" s="607"/>
      <c r="C615" s="135" t="s">
        <v>1145</v>
      </c>
      <c r="D615" s="14" t="s">
        <v>1146</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607"/>
      <c r="B616" s="607"/>
      <c r="C616" s="268" t="s">
        <v>572</v>
      </c>
      <c r="D616" s="14" t="s">
        <v>760</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607"/>
      <c r="B617" s="607"/>
      <c r="C617" s="268" t="s">
        <v>761</v>
      </c>
      <c r="D617" s="14" t="s">
        <v>1927</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607"/>
      <c r="B618" s="607"/>
      <c r="C618" s="135" t="s">
        <v>660</v>
      </c>
      <c r="D618" s="14" t="s">
        <v>661</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607"/>
      <c r="B619" s="607"/>
      <c r="C619" s="135" t="s">
        <v>662</v>
      </c>
      <c r="D619" s="14" t="s">
        <v>663</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607"/>
      <c r="B620" s="607"/>
      <c r="C620" s="268" t="s">
        <v>664</v>
      </c>
      <c r="D620" s="14" t="s">
        <v>665</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607"/>
      <c r="B621" s="607"/>
      <c r="C621" s="135" t="s">
        <v>666</v>
      </c>
      <c r="D621" s="14" t="s">
        <v>667</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607"/>
      <c r="B622" s="607"/>
      <c r="C622" s="135" t="s">
        <v>668</v>
      </c>
      <c r="D622" s="14" t="s">
        <v>856</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607"/>
      <c r="B623" s="607"/>
      <c r="C623" s="135" t="s">
        <v>53</v>
      </c>
      <c r="D623" s="14" t="s">
        <v>54</v>
      </c>
      <c r="E623" s="142">
        <v>19.44</v>
      </c>
      <c r="F623" s="143">
        <f t="shared" si="78"/>
        <v>1</v>
      </c>
      <c r="G623" s="142">
        <v>19.44</v>
      </c>
      <c r="H623" s="144">
        <f t="shared" si="74"/>
        <v>0</v>
      </c>
      <c r="I623" s="145"/>
      <c r="J623" s="145"/>
      <c r="K623" s="145"/>
      <c r="L623" s="49"/>
      <c r="M623" s="146"/>
      <c r="N623" s="146"/>
      <c r="O623" s="239"/>
      <c r="P623" s="25"/>
    </row>
    <row r="624" spans="1:16" ht="31.5" customHeight="1" hidden="1">
      <c r="A624" s="607"/>
      <c r="B624" s="607"/>
      <c r="C624" s="268" t="s">
        <v>55</v>
      </c>
      <c r="D624" s="14" t="s">
        <v>56</v>
      </c>
      <c r="E624" s="142">
        <v>30.54</v>
      </c>
      <c r="F624" s="143">
        <f t="shared" si="78"/>
        <v>1</v>
      </c>
      <c r="G624" s="142">
        <v>30.54</v>
      </c>
      <c r="H624" s="144">
        <f t="shared" si="74"/>
        <v>0</v>
      </c>
      <c r="I624" s="145"/>
      <c r="J624" s="145"/>
      <c r="K624" s="145"/>
      <c r="L624" s="49"/>
      <c r="M624" s="146"/>
      <c r="N624" s="146"/>
      <c r="O624" s="239"/>
      <c r="P624" s="25"/>
    </row>
    <row r="625" spans="1:16" ht="31.5" customHeight="1" hidden="1">
      <c r="A625" s="607"/>
      <c r="B625" s="607"/>
      <c r="C625" s="135" t="s">
        <v>57</v>
      </c>
      <c r="D625" s="14" t="s">
        <v>58</v>
      </c>
      <c r="E625" s="142">
        <v>27.456</v>
      </c>
      <c r="F625" s="143">
        <f t="shared" si="78"/>
        <v>1</v>
      </c>
      <c r="G625" s="142">
        <v>27.456</v>
      </c>
      <c r="H625" s="144">
        <f t="shared" si="74"/>
        <v>0</v>
      </c>
      <c r="I625" s="145"/>
      <c r="J625" s="145"/>
      <c r="K625" s="145"/>
      <c r="L625" s="49"/>
      <c r="M625" s="146"/>
      <c r="N625" s="146"/>
      <c r="O625" s="239"/>
      <c r="P625" s="25"/>
    </row>
    <row r="626" spans="1:16" ht="31.5" customHeight="1" hidden="1">
      <c r="A626" s="607"/>
      <c r="B626" s="607"/>
      <c r="C626" s="135" t="s">
        <v>404</v>
      </c>
      <c r="D626" s="14" t="s">
        <v>841</v>
      </c>
      <c r="E626" s="142"/>
      <c r="F626" s="143" t="e">
        <f t="shared" si="78"/>
        <v>#DIV/0!</v>
      </c>
      <c r="G626" s="142"/>
      <c r="H626" s="144">
        <f t="shared" si="74"/>
        <v>0</v>
      </c>
      <c r="I626" s="145"/>
      <c r="J626" s="145"/>
      <c r="K626" s="145"/>
      <c r="L626" s="49"/>
      <c r="M626" s="146"/>
      <c r="N626" s="146"/>
      <c r="O626" s="239"/>
      <c r="P626" s="25"/>
    </row>
    <row r="627" spans="1:16" ht="31.5" customHeight="1" hidden="1">
      <c r="A627" s="607"/>
      <c r="B627" s="607"/>
      <c r="C627" s="268" t="s">
        <v>842</v>
      </c>
      <c r="D627" s="14" t="s">
        <v>843</v>
      </c>
      <c r="E627" s="142">
        <v>8.448</v>
      </c>
      <c r="F627" s="143">
        <f t="shared" si="78"/>
        <v>1</v>
      </c>
      <c r="G627" s="142">
        <v>8.448</v>
      </c>
      <c r="H627" s="144">
        <f t="shared" si="74"/>
        <v>0</v>
      </c>
      <c r="I627" s="145"/>
      <c r="J627" s="145"/>
      <c r="K627" s="145"/>
      <c r="L627" s="49"/>
      <c r="M627" s="146"/>
      <c r="N627" s="146"/>
      <c r="O627" s="239"/>
      <c r="P627" s="25"/>
    </row>
    <row r="628" spans="1:16" ht="31.5" customHeight="1" hidden="1">
      <c r="A628" s="607"/>
      <c r="B628" s="607"/>
      <c r="C628" s="135" t="s">
        <v>844</v>
      </c>
      <c r="D628" s="14" t="s">
        <v>430</v>
      </c>
      <c r="E628" s="142">
        <v>32.606</v>
      </c>
      <c r="F628" s="143">
        <f t="shared" si="78"/>
        <v>1</v>
      </c>
      <c r="G628" s="142">
        <v>32.606</v>
      </c>
      <c r="H628" s="144">
        <f t="shared" si="74"/>
        <v>0</v>
      </c>
      <c r="I628" s="145"/>
      <c r="J628" s="145"/>
      <c r="K628" s="145"/>
      <c r="L628" s="49"/>
      <c r="M628" s="146"/>
      <c r="N628" s="146"/>
      <c r="O628" s="239"/>
      <c r="P628" s="25"/>
    </row>
    <row r="629" spans="1:16" ht="31.5" customHeight="1" hidden="1">
      <c r="A629" s="607"/>
      <c r="B629" s="607"/>
      <c r="C629" s="135" t="s">
        <v>408</v>
      </c>
      <c r="D629" s="14" t="s">
        <v>426</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607"/>
      <c r="B630" s="607"/>
      <c r="C630" s="135" t="s">
        <v>427</v>
      </c>
      <c r="D630" s="14" t="s">
        <v>316</v>
      </c>
      <c r="E630" s="142"/>
      <c r="F630" s="143" t="e">
        <f t="shared" si="78"/>
        <v>#DIV/0!</v>
      </c>
      <c r="G630" s="142"/>
      <c r="H630" s="144">
        <f t="shared" si="79"/>
        <v>0</v>
      </c>
      <c r="I630" s="145"/>
      <c r="J630" s="145"/>
      <c r="K630" s="145"/>
      <c r="L630" s="49"/>
      <c r="M630" s="146"/>
      <c r="N630" s="146"/>
      <c r="O630" s="239"/>
      <c r="P630" s="25"/>
    </row>
    <row r="631" spans="1:16" ht="31.5" customHeight="1" hidden="1">
      <c r="A631" s="607"/>
      <c r="B631" s="607"/>
      <c r="C631" s="135" t="s">
        <v>317</v>
      </c>
      <c r="D631" s="14" t="s">
        <v>318</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607"/>
      <c r="B632" s="607"/>
      <c r="C632" s="266" t="s">
        <v>319</v>
      </c>
      <c r="D632" s="14" t="s">
        <v>320</v>
      </c>
      <c r="E632" s="142">
        <v>100</v>
      </c>
      <c r="F632" s="143">
        <f t="shared" si="78"/>
        <v>1</v>
      </c>
      <c r="G632" s="142">
        <v>100</v>
      </c>
      <c r="H632" s="144">
        <f t="shared" si="79"/>
        <v>0</v>
      </c>
      <c r="I632" s="145"/>
      <c r="J632" s="145"/>
      <c r="K632" s="145"/>
      <c r="L632" s="49"/>
      <c r="M632" s="146"/>
      <c r="N632" s="146"/>
      <c r="O632" s="239"/>
      <c r="P632" s="25"/>
    </row>
    <row r="633" spans="1:16" ht="31.5" customHeight="1" hidden="1">
      <c r="A633" s="607"/>
      <c r="B633" s="607"/>
      <c r="C633" s="266" t="s">
        <v>321</v>
      </c>
      <c r="D633" s="14" t="s">
        <v>29</v>
      </c>
      <c r="E633" s="142">
        <v>120</v>
      </c>
      <c r="F633" s="143">
        <f t="shared" si="78"/>
        <v>1</v>
      </c>
      <c r="G633" s="142">
        <v>120</v>
      </c>
      <c r="H633" s="144">
        <f t="shared" si="79"/>
        <v>0</v>
      </c>
      <c r="I633" s="145"/>
      <c r="J633" s="145"/>
      <c r="K633" s="145"/>
      <c r="L633" s="49"/>
      <c r="M633" s="146"/>
      <c r="N633" s="146"/>
      <c r="O633" s="239"/>
      <c r="P633" s="25"/>
    </row>
    <row r="634" spans="1:16" ht="31.5" customHeight="1" hidden="1">
      <c r="A634" s="607"/>
      <c r="B634" s="607"/>
      <c r="C634" s="266" t="s">
        <v>30</v>
      </c>
      <c r="D634" s="14" t="s">
        <v>31</v>
      </c>
      <c r="E634" s="142"/>
      <c r="F634" s="143" t="e">
        <f t="shared" si="78"/>
        <v>#DIV/0!</v>
      </c>
      <c r="G634" s="142"/>
      <c r="H634" s="144">
        <f t="shared" si="79"/>
        <v>0</v>
      </c>
      <c r="I634" s="145"/>
      <c r="J634" s="145"/>
      <c r="K634" s="145"/>
      <c r="L634" s="49"/>
      <c r="M634" s="146"/>
      <c r="N634" s="146"/>
      <c r="O634" s="239"/>
      <c r="P634" s="25"/>
    </row>
    <row r="635" spans="1:16" ht="31.5" customHeight="1" hidden="1">
      <c r="A635" s="607"/>
      <c r="B635" s="607"/>
      <c r="C635" s="266" t="s">
        <v>32</v>
      </c>
      <c r="D635" s="14" t="s">
        <v>33</v>
      </c>
      <c r="E635" s="142"/>
      <c r="F635" s="143" t="e">
        <f t="shared" si="78"/>
        <v>#DIV/0!</v>
      </c>
      <c r="G635" s="142"/>
      <c r="H635" s="144">
        <f t="shared" si="79"/>
        <v>0</v>
      </c>
      <c r="I635" s="145"/>
      <c r="J635" s="145"/>
      <c r="K635" s="145"/>
      <c r="L635" s="49"/>
      <c r="M635" s="146"/>
      <c r="N635" s="146"/>
      <c r="O635" s="239"/>
      <c r="P635" s="25"/>
    </row>
    <row r="636" spans="1:16" ht="31.5" customHeight="1" hidden="1">
      <c r="A636" s="607"/>
      <c r="B636" s="607"/>
      <c r="C636" s="266" t="s">
        <v>34</v>
      </c>
      <c r="D636" s="14" t="s">
        <v>1747</v>
      </c>
      <c r="E636" s="142"/>
      <c r="F636" s="143" t="e">
        <f t="shared" si="78"/>
        <v>#DIV/0!</v>
      </c>
      <c r="G636" s="142"/>
      <c r="H636" s="144">
        <f t="shared" si="79"/>
        <v>0</v>
      </c>
      <c r="I636" s="145"/>
      <c r="J636" s="145"/>
      <c r="K636" s="145"/>
      <c r="L636" s="49"/>
      <c r="M636" s="146"/>
      <c r="N636" s="146"/>
      <c r="O636" s="239"/>
      <c r="P636" s="25"/>
    </row>
    <row r="637" spans="1:16" ht="31.5" hidden="1">
      <c r="A637" s="607"/>
      <c r="B637" s="607"/>
      <c r="C637" s="266" t="s">
        <v>1748</v>
      </c>
      <c r="D637" s="14" t="s">
        <v>1749</v>
      </c>
      <c r="E637" s="142">
        <v>30</v>
      </c>
      <c r="F637" s="143">
        <f t="shared" si="78"/>
        <v>1</v>
      </c>
      <c r="G637" s="142">
        <v>30</v>
      </c>
      <c r="H637" s="144">
        <f t="shared" si="79"/>
        <v>0</v>
      </c>
      <c r="I637" s="145"/>
      <c r="J637" s="145"/>
      <c r="K637" s="145"/>
      <c r="L637" s="49"/>
      <c r="M637" s="146"/>
      <c r="N637" s="146"/>
      <c r="O637" s="239"/>
      <c r="P637" s="25"/>
    </row>
    <row r="638" spans="1:16" ht="31.5" customHeight="1" hidden="1">
      <c r="A638" s="607"/>
      <c r="B638" s="607"/>
      <c r="C638" s="266" t="s">
        <v>254</v>
      </c>
      <c r="D638" s="14" t="s">
        <v>255</v>
      </c>
      <c r="E638" s="142">
        <v>1020</v>
      </c>
      <c r="F638" s="143">
        <f t="shared" si="78"/>
        <v>1</v>
      </c>
      <c r="G638" s="142">
        <v>1020</v>
      </c>
      <c r="H638" s="144">
        <f t="shared" si="79"/>
        <v>0</v>
      </c>
      <c r="I638" s="145"/>
      <c r="J638" s="145"/>
      <c r="K638" s="145"/>
      <c r="L638" s="49"/>
      <c r="M638" s="146"/>
      <c r="N638" s="146"/>
      <c r="O638" s="239"/>
      <c r="P638" s="25"/>
    </row>
    <row r="639" spans="1:16" ht="31.5" hidden="1">
      <c r="A639" s="607"/>
      <c r="B639" s="607"/>
      <c r="C639" s="266" t="s">
        <v>256</v>
      </c>
      <c r="D639" s="269" t="s">
        <v>257</v>
      </c>
      <c r="E639" s="142">
        <v>6632.916</v>
      </c>
      <c r="F639" s="143">
        <f t="shared" si="78"/>
        <v>0.675</v>
      </c>
      <c r="G639" s="142">
        <v>4474.23515</v>
      </c>
      <c r="H639" s="144">
        <f t="shared" si="79"/>
        <v>0</v>
      </c>
      <c r="I639" s="145"/>
      <c r="J639" s="145"/>
      <c r="K639" s="145"/>
      <c r="L639" s="173"/>
      <c r="M639" s="146"/>
      <c r="N639" s="146"/>
      <c r="O639" s="239"/>
      <c r="P639" s="25"/>
    </row>
    <row r="640" spans="1:16" ht="15.75" hidden="1">
      <c r="A640" s="607"/>
      <c r="B640" s="607"/>
      <c r="C640" s="266" t="s">
        <v>309</v>
      </c>
      <c r="D640" s="14" t="s">
        <v>310</v>
      </c>
      <c r="E640" s="142">
        <v>6229.00816</v>
      </c>
      <c r="F640" s="143">
        <f t="shared" si="78"/>
        <v>0.058</v>
      </c>
      <c r="G640" s="142">
        <v>360</v>
      </c>
      <c r="H640" s="144">
        <f t="shared" si="79"/>
        <v>0</v>
      </c>
      <c r="I640" s="145"/>
      <c r="J640" s="145"/>
      <c r="K640" s="145"/>
      <c r="L640" s="49"/>
      <c r="M640" s="146"/>
      <c r="N640" s="146"/>
      <c r="O640" s="239"/>
      <c r="P640" s="25"/>
    </row>
    <row r="641" spans="1:16" ht="31.5" hidden="1">
      <c r="A641" s="607"/>
      <c r="B641" s="607"/>
      <c r="C641" s="266" t="s">
        <v>311</v>
      </c>
      <c r="D641" s="14" t="s">
        <v>312</v>
      </c>
      <c r="E641" s="142">
        <v>365.3298</v>
      </c>
      <c r="F641" s="143">
        <f t="shared" si="78"/>
        <v>0.099</v>
      </c>
      <c r="G641" s="142">
        <v>36</v>
      </c>
      <c r="H641" s="144">
        <f t="shared" si="79"/>
        <v>0</v>
      </c>
      <c r="I641" s="145"/>
      <c r="J641" s="145"/>
      <c r="K641" s="145"/>
      <c r="L641" s="49"/>
      <c r="M641" s="146"/>
      <c r="N641" s="146"/>
      <c r="O641" s="239"/>
      <c r="P641" s="25"/>
    </row>
    <row r="642" spans="1:16" ht="31.5" hidden="1">
      <c r="A642" s="607"/>
      <c r="B642" s="607"/>
      <c r="C642" s="266" t="s">
        <v>313</v>
      </c>
      <c r="D642" s="14" t="s">
        <v>322</v>
      </c>
      <c r="E642" s="142">
        <v>300</v>
      </c>
      <c r="F642" s="143">
        <f t="shared" si="78"/>
        <v>1</v>
      </c>
      <c r="G642" s="142">
        <v>300</v>
      </c>
      <c r="H642" s="144">
        <f t="shared" si="79"/>
        <v>0</v>
      </c>
      <c r="I642" s="145"/>
      <c r="J642" s="145"/>
      <c r="K642" s="145"/>
      <c r="L642" s="49"/>
      <c r="M642" s="146"/>
      <c r="N642" s="146"/>
      <c r="O642" s="239"/>
      <c r="P642" s="25"/>
    </row>
    <row r="643" spans="1:16" ht="47.25">
      <c r="A643" s="607"/>
      <c r="B643" s="607"/>
      <c r="C643" s="266" t="s">
        <v>323</v>
      </c>
      <c r="D643" s="14" t="s">
        <v>1183</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607"/>
      <c r="B644" s="607"/>
      <c r="C644" s="266"/>
      <c r="D644" s="14" t="s">
        <v>878</v>
      </c>
      <c r="E644" s="142"/>
      <c r="F644" s="143"/>
      <c r="G644" s="142"/>
      <c r="H644" s="144">
        <f t="shared" si="79"/>
        <v>0</v>
      </c>
      <c r="I644" s="145"/>
      <c r="J644" s="145"/>
      <c r="K644" s="145"/>
      <c r="L644" s="49"/>
      <c r="M644" s="146"/>
      <c r="N644" s="146"/>
      <c r="O644" s="239"/>
      <c r="P644" s="25"/>
    </row>
    <row r="645" spans="1:16" ht="31.5" hidden="1">
      <c r="A645" s="607"/>
      <c r="B645" s="607"/>
      <c r="C645" s="266"/>
      <c r="D645" s="14" t="s">
        <v>879</v>
      </c>
      <c r="E645" s="142"/>
      <c r="F645" s="143"/>
      <c r="G645" s="142"/>
      <c r="H645" s="144">
        <f t="shared" si="79"/>
        <v>0</v>
      </c>
      <c r="I645" s="145"/>
      <c r="J645" s="145"/>
      <c r="K645" s="145"/>
      <c r="L645" s="49"/>
      <c r="M645" s="146"/>
      <c r="N645" s="146"/>
      <c r="O645" s="239"/>
      <c r="P645" s="25"/>
    </row>
    <row r="646" spans="1:16" ht="31.5" hidden="1">
      <c r="A646" s="607"/>
      <c r="B646" s="607"/>
      <c r="C646" s="266"/>
      <c r="D646" s="14" t="s">
        <v>1752</v>
      </c>
      <c r="E646" s="142"/>
      <c r="F646" s="143"/>
      <c r="G646" s="142"/>
      <c r="H646" s="144">
        <f t="shared" si="79"/>
        <v>0</v>
      </c>
      <c r="I646" s="145"/>
      <c r="J646" s="145"/>
      <c r="K646" s="145"/>
      <c r="L646" s="49"/>
      <c r="M646" s="146"/>
      <c r="N646" s="146"/>
      <c r="O646" s="239"/>
      <c r="P646" s="25"/>
    </row>
    <row r="647" spans="1:16" ht="31.5" hidden="1">
      <c r="A647" s="607"/>
      <c r="B647" s="607"/>
      <c r="C647" s="266"/>
      <c r="D647" s="14" t="s">
        <v>1753</v>
      </c>
      <c r="E647" s="142"/>
      <c r="F647" s="143"/>
      <c r="G647" s="142"/>
      <c r="H647" s="144">
        <f t="shared" si="79"/>
        <v>0</v>
      </c>
      <c r="I647" s="145"/>
      <c r="J647" s="145"/>
      <c r="K647" s="145"/>
      <c r="L647" s="49"/>
      <c r="M647" s="146"/>
      <c r="N647" s="146"/>
      <c r="O647" s="239"/>
      <c r="P647" s="25"/>
    </row>
    <row r="648" spans="1:16" ht="31.5" hidden="1">
      <c r="A648" s="607"/>
      <c r="B648" s="607"/>
      <c r="C648" s="266"/>
      <c r="D648" s="14" t="s">
        <v>631</v>
      </c>
      <c r="E648" s="142"/>
      <c r="F648" s="143"/>
      <c r="G648" s="142"/>
      <c r="H648" s="144">
        <f t="shared" si="79"/>
        <v>0</v>
      </c>
      <c r="I648" s="145"/>
      <c r="J648" s="145"/>
      <c r="K648" s="145"/>
      <c r="L648" s="49"/>
      <c r="M648" s="146"/>
      <c r="N648" s="146"/>
      <c r="O648" s="239"/>
      <c r="P648" s="25"/>
    </row>
    <row r="649" spans="1:16" ht="47.25" hidden="1">
      <c r="A649" s="607"/>
      <c r="B649" s="607"/>
      <c r="C649" s="266"/>
      <c r="D649" s="14" t="s">
        <v>207</v>
      </c>
      <c r="E649" s="142"/>
      <c r="F649" s="143"/>
      <c r="G649" s="142"/>
      <c r="H649" s="144">
        <f t="shared" si="79"/>
        <v>0</v>
      </c>
      <c r="I649" s="145"/>
      <c r="J649" s="145"/>
      <c r="K649" s="145"/>
      <c r="L649" s="49"/>
      <c r="M649" s="146"/>
      <c r="N649" s="146"/>
      <c r="O649" s="239"/>
      <c r="P649" s="25"/>
    </row>
    <row r="650" spans="1:16" ht="18.75" hidden="1">
      <c r="A650" s="607"/>
      <c r="B650" s="607"/>
      <c r="C650" s="266" t="s">
        <v>632</v>
      </c>
      <c r="D650" s="269" t="s">
        <v>625</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607"/>
      <c r="B651" s="607"/>
      <c r="C651" s="266" t="s">
        <v>626</v>
      </c>
      <c r="D651" s="269" t="s">
        <v>627</v>
      </c>
      <c r="E651" s="142">
        <v>990</v>
      </c>
      <c r="F651" s="143">
        <f t="shared" si="80"/>
        <v>1</v>
      </c>
      <c r="G651" s="142">
        <v>990</v>
      </c>
      <c r="H651" s="144">
        <f t="shared" si="79"/>
        <v>0</v>
      </c>
      <c r="I651" s="145"/>
      <c r="J651" s="145"/>
      <c r="K651" s="145"/>
      <c r="L651" s="173"/>
      <c r="M651" s="146"/>
      <c r="N651" s="146"/>
      <c r="O651" s="239"/>
      <c r="P651" s="25"/>
    </row>
    <row r="652" spans="1:16" ht="31.5" hidden="1">
      <c r="A652" s="607"/>
      <c r="B652" s="607"/>
      <c r="C652" s="266" t="s">
        <v>628</v>
      </c>
      <c r="D652" s="269" t="s">
        <v>893</v>
      </c>
      <c r="E652" s="142">
        <v>972.32</v>
      </c>
      <c r="F652" s="143">
        <f t="shared" si="80"/>
        <v>0.082</v>
      </c>
      <c r="G652" s="142">
        <v>80</v>
      </c>
      <c r="H652" s="144">
        <f t="shared" si="79"/>
        <v>0</v>
      </c>
      <c r="I652" s="145"/>
      <c r="J652" s="145"/>
      <c r="K652" s="145"/>
      <c r="L652" s="173"/>
      <c r="M652" s="146"/>
      <c r="N652" s="146"/>
      <c r="O652" s="239"/>
      <c r="P652" s="25"/>
    </row>
    <row r="653" spans="1:16" ht="31.5" hidden="1">
      <c r="A653" s="607"/>
      <c r="B653" s="607"/>
      <c r="C653" s="266" t="s">
        <v>894</v>
      </c>
      <c r="D653" s="14" t="s">
        <v>895</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607"/>
      <c r="B654" s="607"/>
      <c r="C654" s="266" t="s">
        <v>896</v>
      </c>
      <c r="D654" s="14" t="s">
        <v>1730</v>
      </c>
      <c r="E654" s="142"/>
      <c r="F654" s="143" t="e">
        <f t="shared" si="80"/>
        <v>#DIV/0!</v>
      </c>
      <c r="G654" s="142"/>
      <c r="H654" s="144">
        <f t="shared" si="79"/>
        <v>0</v>
      </c>
      <c r="I654" s="145"/>
      <c r="J654" s="145"/>
      <c r="K654" s="145"/>
      <c r="L654" s="49"/>
      <c r="M654" s="146"/>
      <c r="N654" s="146"/>
      <c r="O654" s="239"/>
      <c r="P654" s="25"/>
    </row>
    <row r="655" spans="1:16" ht="15.75" customHeight="1" hidden="1">
      <c r="A655" s="607"/>
      <c r="B655" s="607"/>
      <c r="C655" s="266"/>
      <c r="D655" s="14"/>
      <c r="E655" s="142"/>
      <c r="F655" s="143" t="e">
        <f t="shared" si="80"/>
        <v>#DIV/0!</v>
      </c>
      <c r="G655" s="142"/>
      <c r="H655" s="144">
        <f t="shared" si="79"/>
        <v>0</v>
      </c>
      <c r="I655" s="145"/>
      <c r="J655" s="145"/>
      <c r="K655" s="145"/>
      <c r="L655" s="49"/>
      <c r="M655" s="146"/>
      <c r="N655" s="146"/>
      <c r="O655" s="239"/>
      <c r="P655" s="25"/>
    </row>
    <row r="656" spans="1:16" ht="31.5" hidden="1">
      <c r="A656" s="567"/>
      <c r="B656" s="567"/>
      <c r="C656" s="266" t="s">
        <v>1731</v>
      </c>
      <c r="D656" s="14" t="s">
        <v>1732</v>
      </c>
      <c r="E656" s="142"/>
      <c r="F656" s="143"/>
      <c r="G656" s="142"/>
      <c r="H656" s="144">
        <f t="shared" si="79"/>
        <v>0</v>
      </c>
      <c r="I656" s="145"/>
      <c r="J656" s="145"/>
      <c r="K656" s="145"/>
      <c r="L656" s="49"/>
      <c r="M656" s="146"/>
      <c r="N656" s="146"/>
      <c r="O656" s="239"/>
      <c r="P656" s="25"/>
    </row>
    <row r="657" spans="1:17" s="45" customFormat="1" ht="31.5" hidden="1">
      <c r="A657" s="567"/>
      <c r="B657" s="567"/>
      <c r="C657" s="266"/>
      <c r="D657" s="14" t="s">
        <v>1833</v>
      </c>
      <c r="E657" s="142"/>
      <c r="F657" s="143"/>
      <c r="G657" s="142"/>
      <c r="H657" s="144">
        <f t="shared" si="79"/>
        <v>0</v>
      </c>
      <c r="I657" s="145"/>
      <c r="J657" s="145"/>
      <c r="K657" s="145"/>
      <c r="L657" s="49"/>
      <c r="M657" s="146"/>
      <c r="N657" s="146"/>
      <c r="O657" s="239"/>
      <c r="P657" s="25"/>
      <c r="Q657" s="22"/>
    </row>
    <row r="658" spans="1:17" s="45" customFormat="1" ht="15.75" customHeight="1" hidden="1">
      <c r="A658" s="567"/>
      <c r="B658" s="567"/>
      <c r="C658" s="266"/>
      <c r="D658" s="70"/>
      <c r="E658" s="142"/>
      <c r="F658" s="143"/>
      <c r="G658" s="142"/>
      <c r="H658" s="144"/>
      <c r="I658" s="145"/>
      <c r="J658" s="145"/>
      <c r="K658" s="145"/>
      <c r="L658" s="49"/>
      <c r="M658" s="146"/>
      <c r="N658" s="146"/>
      <c r="O658" s="239"/>
      <c r="P658" s="25"/>
      <c r="Q658" s="22"/>
    </row>
    <row r="659" spans="1:17" s="45" customFormat="1" ht="63" hidden="1">
      <c r="A659" s="567"/>
      <c r="B659" s="567"/>
      <c r="C659" s="266"/>
      <c r="D659" s="14" t="s">
        <v>1471</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567"/>
      <c r="B660" s="567"/>
      <c r="C660" s="266"/>
      <c r="D660" s="14" t="s">
        <v>1981</v>
      </c>
      <c r="E660" s="142"/>
      <c r="F660" s="143"/>
      <c r="G660" s="142"/>
      <c r="H660" s="144">
        <f t="shared" si="81"/>
        <v>0</v>
      </c>
      <c r="I660" s="145"/>
      <c r="J660" s="145"/>
      <c r="K660" s="145"/>
      <c r="L660" s="49"/>
      <c r="M660" s="146"/>
      <c r="N660" s="146"/>
      <c r="O660" s="239"/>
      <c r="P660" s="25"/>
      <c r="Q660" s="22"/>
    </row>
    <row r="661" spans="1:17" s="45" customFormat="1" ht="31.5" hidden="1">
      <c r="A661" s="567"/>
      <c r="B661" s="567"/>
      <c r="C661" s="266"/>
      <c r="D661" s="14" t="s">
        <v>192</v>
      </c>
      <c r="E661" s="142"/>
      <c r="F661" s="143"/>
      <c r="G661" s="142"/>
      <c r="H661" s="144">
        <f t="shared" si="81"/>
        <v>0</v>
      </c>
      <c r="I661" s="145"/>
      <c r="J661" s="145"/>
      <c r="K661" s="145"/>
      <c r="L661" s="49"/>
      <c r="M661" s="146"/>
      <c r="N661" s="146"/>
      <c r="O661" s="239"/>
      <c r="P661" s="25"/>
      <c r="Q661" s="22"/>
    </row>
    <row r="662" spans="1:17" s="45" customFormat="1" ht="31.5" hidden="1">
      <c r="A662" s="566"/>
      <c r="B662" s="566"/>
      <c r="C662" s="266"/>
      <c r="D662" s="14" t="s">
        <v>865</v>
      </c>
      <c r="E662" s="142"/>
      <c r="F662" s="143"/>
      <c r="G662" s="142"/>
      <c r="H662" s="144">
        <f t="shared" si="81"/>
        <v>0</v>
      </c>
      <c r="I662" s="145"/>
      <c r="J662" s="145"/>
      <c r="K662" s="145"/>
      <c r="L662" s="49"/>
      <c r="M662" s="146"/>
      <c r="N662" s="146"/>
      <c r="O662" s="239"/>
      <c r="P662" s="25"/>
      <c r="Q662" s="22"/>
    </row>
    <row r="663" spans="1:63" s="28" customFormat="1" ht="15.75" customHeight="1" hidden="1">
      <c r="A663" s="578">
        <v>170703</v>
      </c>
      <c r="B663" s="578" t="s">
        <v>1946</v>
      </c>
      <c r="C663" s="270"/>
      <c r="D663" s="71" t="s">
        <v>1456</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579"/>
      <c r="B664" s="579"/>
      <c r="C664" s="266"/>
      <c r="D664" s="14" t="s">
        <v>193</v>
      </c>
      <c r="E664" s="142"/>
      <c r="F664" s="143"/>
      <c r="G664" s="142"/>
      <c r="H664" s="144">
        <f t="shared" si="81"/>
        <v>0</v>
      </c>
      <c r="I664" s="145"/>
      <c r="J664" s="145"/>
      <c r="K664" s="145"/>
      <c r="L664" s="49"/>
      <c r="M664" s="146"/>
      <c r="N664" s="146"/>
      <c r="O664" s="239"/>
      <c r="P664" s="25"/>
      <c r="Q664" s="22"/>
    </row>
    <row r="665" spans="1:17" s="45" customFormat="1" ht="31.5" hidden="1">
      <c r="A665" s="579"/>
      <c r="B665" s="579"/>
      <c r="C665" s="266"/>
      <c r="D665" s="14" t="s">
        <v>194</v>
      </c>
      <c r="E665" s="142"/>
      <c r="F665" s="143"/>
      <c r="G665" s="142"/>
      <c r="H665" s="144">
        <f t="shared" si="81"/>
        <v>0</v>
      </c>
      <c r="I665" s="145"/>
      <c r="J665" s="145"/>
      <c r="K665" s="145"/>
      <c r="L665" s="49"/>
      <c r="M665" s="146"/>
      <c r="N665" s="146"/>
      <c r="O665" s="239"/>
      <c r="P665" s="25"/>
      <c r="Q665" s="22"/>
    </row>
    <row r="666" spans="1:17" s="45" customFormat="1" ht="15.75" hidden="1">
      <c r="A666" s="579"/>
      <c r="B666" s="579"/>
      <c r="C666" s="266"/>
      <c r="D666" s="14" t="s">
        <v>195</v>
      </c>
      <c r="E666" s="142"/>
      <c r="F666" s="143"/>
      <c r="G666" s="142"/>
      <c r="H666" s="144">
        <f t="shared" si="81"/>
        <v>0</v>
      </c>
      <c r="I666" s="145"/>
      <c r="J666" s="145"/>
      <c r="K666" s="145"/>
      <c r="L666" s="49"/>
      <c r="M666" s="146"/>
      <c r="N666" s="146"/>
      <c r="O666" s="239"/>
      <c r="P666" s="25"/>
      <c r="Q666" s="22"/>
    </row>
    <row r="667" spans="1:17" s="45" customFormat="1" ht="47.25" hidden="1">
      <c r="A667" s="563"/>
      <c r="B667" s="563"/>
      <c r="C667" s="266"/>
      <c r="D667" s="14" t="s">
        <v>980</v>
      </c>
      <c r="E667" s="142"/>
      <c r="F667" s="143"/>
      <c r="G667" s="142"/>
      <c r="H667" s="144">
        <f t="shared" si="81"/>
        <v>0</v>
      </c>
      <c r="I667" s="145"/>
      <c r="J667" s="145"/>
      <c r="K667" s="145"/>
      <c r="L667" s="49"/>
      <c r="M667" s="146"/>
      <c r="N667" s="146"/>
      <c r="O667" s="239"/>
      <c r="P667" s="25"/>
      <c r="Q667" s="22"/>
    </row>
    <row r="668" spans="1:63" s="28" customFormat="1" ht="15.75" customHeight="1" hidden="1">
      <c r="A668" s="605">
        <v>180409</v>
      </c>
      <c r="B668" s="605" t="s">
        <v>753</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607"/>
      <c r="B669" s="607"/>
      <c r="C669" s="135"/>
      <c r="D669" s="225" t="s">
        <v>981</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607"/>
      <c r="B670" s="607"/>
      <c r="C670" s="135" t="s">
        <v>982</v>
      </c>
      <c r="D670" s="271" t="s">
        <v>381</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607"/>
      <c r="B671" s="607"/>
      <c r="C671" s="135" t="s">
        <v>1834</v>
      </c>
      <c r="D671" s="271" t="s">
        <v>1253</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607"/>
      <c r="B672" s="607"/>
      <c r="C672" s="135"/>
      <c r="D672" s="271" t="s">
        <v>1254</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607"/>
      <c r="B673" s="607"/>
      <c r="C673" s="135"/>
      <c r="D673" s="271" t="s">
        <v>1954</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607"/>
      <c r="B674" s="607"/>
      <c r="C674" s="135"/>
      <c r="D674" s="271" t="s">
        <v>1955</v>
      </c>
      <c r="E674" s="142"/>
      <c r="F674" s="143"/>
      <c r="G674" s="142"/>
      <c r="H674" s="144">
        <f t="shared" si="81"/>
        <v>0</v>
      </c>
      <c r="I674" s="145"/>
      <c r="J674" s="145"/>
      <c r="K674" s="163"/>
      <c r="L674" s="145"/>
      <c r="M674" s="182"/>
      <c r="N674" s="182"/>
      <c r="O674" s="183"/>
      <c r="P674" s="25"/>
      <c r="Q674" s="29"/>
    </row>
    <row r="675" spans="1:17" s="30" customFormat="1" ht="31.5" hidden="1">
      <c r="A675" s="607"/>
      <c r="B675" s="607"/>
      <c r="C675" s="135"/>
      <c r="D675" s="271" t="s">
        <v>1025</v>
      </c>
      <c r="E675" s="142"/>
      <c r="F675" s="143"/>
      <c r="G675" s="142"/>
      <c r="H675" s="144">
        <f t="shared" si="81"/>
        <v>0</v>
      </c>
      <c r="I675" s="145"/>
      <c r="J675" s="145"/>
      <c r="K675" s="163"/>
      <c r="L675" s="145"/>
      <c r="M675" s="182"/>
      <c r="N675" s="182"/>
      <c r="O675" s="183"/>
      <c r="P675" s="25"/>
      <c r="Q675" s="29"/>
    </row>
    <row r="676" spans="1:17" s="30" customFormat="1" ht="15.75" hidden="1">
      <c r="A676" s="607"/>
      <c r="B676" s="607"/>
      <c r="C676" s="135"/>
      <c r="D676" s="271" t="s">
        <v>18</v>
      </c>
      <c r="E676" s="142"/>
      <c r="F676" s="143"/>
      <c r="G676" s="142"/>
      <c r="H676" s="144">
        <f t="shared" si="81"/>
        <v>0</v>
      </c>
      <c r="I676" s="145"/>
      <c r="J676" s="145"/>
      <c r="K676" s="163"/>
      <c r="L676" s="145"/>
      <c r="M676" s="182"/>
      <c r="N676" s="182"/>
      <c r="O676" s="183"/>
      <c r="P676" s="25"/>
      <c r="Q676" s="29"/>
    </row>
    <row r="677" spans="1:17" s="30" customFormat="1" ht="63" hidden="1">
      <c r="A677" s="607"/>
      <c r="B677" s="607"/>
      <c r="C677" s="135"/>
      <c r="D677" s="271" t="s">
        <v>779</v>
      </c>
      <c r="E677" s="142"/>
      <c r="F677" s="143"/>
      <c r="G677" s="142"/>
      <c r="H677" s="144">
        <f t="shared" si="81"/>
        <v>0</v>
      </c>
      <c r="I677" s="145"/>
      <c r="J677" s="145"/>
      <c r="K677" s="163"/>
      <c r="L677" s="144"/>
      <c r="M677" s="182"/>
      <c r="N677" s="182"/>
      <c r="O677" s="183"/>
      <c r="P677" s="25"/>
      <c r="Q677" s="29"/>
    </row>
    <row r="678" spans="1:17" s="30" customFormat="1" ht="15.75" hidden="1">
      <c r="A678" s="607"/>
      <c r="B678" s="607"/>
      <c r="C678" s="135"/>
      <c r="D678" s="272" t="s">
        <v>19</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607"/>
      <c r="B679" s="607"/>
      <c r="C679" s="135"/>
      <c r="D679" s="271" t="s">
        <v>20</v>
      </c>
      <c r="E679" s="142"/>
      <c r="F679" s="143"/>
      <c r="G679" s="142"/>
      <c r="H679" s="144">
        <f t="shared" si="81"/>
        <v>0</v>
      </c>
      <c r="I679" s="145"/>
      <c r="J679" s="145"/>
      <c r="K679" s="273"/>
      <c r="L679" s="144"/>
      <c r="M679" s="182"/>
      <c r="N679" s="182"/>
      <c r="O679" s="183"/>
      <c r="P679" s="25"/>
      <c r="Q679" s="29"/>
    </row>
    <row r="680" spans="1:17" s="30" customFormat="1" ht="31.5" hidden="1">
      <c r="A680" s="607"/>
      <c r="B680" s="607"/>
      <c r="C680" s="135"/>
      <c r="D680" s="271" t="s">
        <v>1000</v>
      </c>
      <c r="E680" s="142"/>
      <c r="F680" s="143"/>
      <c r="G680" s="142"/>
      <c r="H680" s="144">
        <f t="shared" si="81"/>
        <v>0</v>
      </c>
      <c r="I680" s="145"/>
      <c r="J680" s="145"/>
      <c r="K680" s="273"/>
      <c r="L680" s="144"/>
      <c r="M680" s="182"/>
      <c r="N680" s="182"/>
      <c r="O680" s="183"/>
      <c r="P680" s="25"/>
      <c r="Q680" s="29"/>
    </row>
    <row r="681" spans="1:17" s="30" customFormat="1" ht="31.5" hidden="1">
      <c r="A681" s="607"/>
      <c r="B681" s="607"/>
      <c r="C681" s="135"/>
      <c r="D681" s="271" t="s">
        <v>1371</v>
      </c>
      <c r="E681" s="142"/>
      <c r="F681" s="143"/>
      <c r="G681" s="142"/>
      <c r="H681" s="144">
        <f t="shared" si="81"/>
        <v>0</v>
      </c>
      <c r="I681" s="145"/>
      <c r="J681" s="145"/>
      <c r="K681" s="273"/>
      <c r="L681" s="144"/>
      <c r="M681" s="182"/>
      <c r="N681" s="182"/>
      <c r="O681" s="183"/>
      <c r="P681" s="25"/>
      <c r="Q681" s="29"/>
    </row>
    <row r="682" spans="1:17" s="30" customFormat="1" ht="31.5" hidden="1">
      <c r="A682" s="607"/>
      <c r="B682" s="607"/>
      <c r="C682" s="135"/>
      <c r="D682" s="271" t="s">
        <v>1472</v>
      </c>
      <c r="E682" s="142"/>
      <c r="F682" s="143"/>
      <c r="G682" s="142"/>
      <c r="H682" s="144">
        <f t="shared" si="81"/>
        <v>0</v>
      </c>
      <c r="I682" s="145"/>
      <c r="J682" s="145"/>
      <c r="K682" s="273"/>
      <c r="L682" s="144"/>
      <c r="M682" s="182"/>
      <c r="N682" s="182"/>
      <c r="O682" s="183"/>
      <c r="P682" s="25"/>
      <c r="Q682" s="29"/>
    </row>
    <row r="683" spans="1:17" s="30" customFormat="1" ht="47.25" hidden="1">
      <c r="A683" s="607"/>
      <c r="B683" s="607"/>
      <c r="C683" s="135"/>
      <c r="D683" s="271" t="s">
        <v>1473</v>
      </c>
      <c r="E683" s="142"/>
      <c r="F683" s="143"/>
      <c r="G683" s="142"/>
      <c r="H683" s="144">
        <f t="shared" si="81"/>
        <v>0</v>
      </c>
      <c r="I683" s="145"/>
      <c r="J683" s="145"/>
      <c r="K683" s="273"/>
      <c r="L683" s="144"/>
      <c r="M683" s="182"/>
      <c r="N683" s="182"/>
      <c r="O683" s="183"/>
      <c r="P683" s="25"/>
      <c r="Q683" s="29"/>
    </row>
    <row r="684" spans="1:17" s="30" customFormat="1" ht="31.5" hidden="1">
      <c r="A684" s="607"/>
      <c r="B684" s="607"/>
      <c r="C684" s="135"/>
      <c r="D684" s="13" t="s">
        <v>2060</v>
      </c>
      <c r="E684" s="142"/>
      <c r="F684" s="143"/>
      <c r="G684" s="142"/>
      <c r="H684" s="144">
        <f t="shared" si="81"/>
        <v>0</v>
      </c>
      <c r="I684" s="145"/>
      <c r="J684" s="145"/>
      <c r="K684" s="273"/>
      <c r="L684" s="144"/>
      <c r="M684" s="182"/>
      <c r="N684" s="182"/>
      <c r="O684" s="183"/>
      <c r="P684" s="25"/>
      <c r="Q684" s="29"/>
    </row>
    <row r="685" spans="1:17" s="30" customFormat="1" ht="15.75" hidden="1">
      <c r="A685" s="607"/>
      <c r="B685" s="607"/>
      <c r="C685" s="135"/>
      <c r="D685" s="271" t="s">
        <v>189</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607"/>
      <c r="B686" s="607"/>
      <c r="C686" s="135"/>
      <c r="D686" s="72" t="s">
        <v>1716</v>
      </c>
      <c r="E686" s="142"/>
      <c r="F686" s="143"/>
      <c r="G686" s="142"/>
      <c r="H686" s="201">
        <f t="shared" si="81"/>
        <v>0</v>
      </c>
      <c r="I686" s="145"/>
      <c r="J686" s="145"/>
      <c r="K686" s="273"/>
      <c r="L686" s="144"/>
      <c r="M686" s="182"/>
      <c r="N686" s="182"/>
      <c r="O686" s="183"/>
      <c r="P686" s="25"/>
      <c r="Q686" s="29"/>
    </row>
    <row r="687" spans="1:17" s="30" customFormat="1" ht="31.5" hidden="1">
      <c r="A687" s="607"/>
      <c r="B687" s="607"/>
      <c r="C687" s="135"/>
      <c r="D687" s="72" t="s">
        <v>262</v>
      </c>
      <c r="E687" s="142"/>
      <c r="F687" s="143"/>
      <c r="G687" s="142"/>
      <c r="H687" s="201">
        <f t="shared" si="81"/>
        <v>0</v>
      </c>
      <c r="I687" s="145"/>
      <c r="J687" s="145"/>
      <c r="K687" s="273"/>
      <c r="L687" s="144"/>
      <c r="M687" s="182"/>
      <c r="N687" s="182"/>
      <c r="O687" s="183"/>
      <c r="P687" s="25"/>
      <c r="Q687" s="29"/>
    </row>
    <row r="688" spans="1:17" s="30" customFormat="1" ht="31.5" hidden="1">
      <c r="A688" s="607"/>
      <c r="B688" s="607"/>
      <c r="C688" s="135"/>
      <c r="D688" s="72" t="s">
        <v>263</v>
      </c>
      <c r="E688" s="142"/>
      <c r="F688" s="143"/>
      <c r="G688" s="142"/>
      <c r="H688" s="201">
        <f t="shared" si="81"/>
        <v>0</v>
      </c>
      <c r="I688" s="145"/>
      <c r="J688" s="145"/>
      <c r="K688" s="273"/>
      <c r="L688" s="144"/>
      <c r="M688" s="182"/>
      <c r="N688" s="182"/>
      <c r="O688" s="183"/>
      <c r="P688" s="25"/>
      <c r="Q688" s="29"/>
    </row>
    <row r="689" spans="1:17" s="30" customFormat="1" ht="31.5" hidden="1">
      <c r="A689" s="607"/>
      <c r="B689" s="607"/>
      <c r="C689" s="135"/>
      <c r="D689" s="72" t="s">
        <v>264</v>
      </c>
      <c r="E689" s="142"/>
      <c r="F689" s="143"/>
      <c r="G689" s="142"/>
      <c r="H689" s="201">
        <f t="shared" si="81"/>
        <v>0</v>
      </c>
      <c r="I689" s="145"/>
      <c r="J689" s="145"/>
      <c r="K689" s="273"/>
      <c r="L689" s="144"/>
      <c r="M689" s="182"/>
      <c r="N689" s="182"/>
      <c r="O689" s="183"/>
      <c r="P689" s="25"/>
      <c r="Q689" s="29"/>
    </row>
    <row r="690" spans="1:17" s="30" customFormat="1" ht="15.75" hidden="1">
      <c r="A690" s="607"/>
      <c r="B690" s="607"/>
      <c r="C690" s="135"/>
      <c r="D690" s="271" t="s">
        <v>265</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607"/>
      <c r="B691" s="607"/>
      <c r="C691" s="135"/>
      <c r="D691" s="72" t="s">
        <v>266</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607"/>
      <c r="B692" s="607"/>
      <c r="C692" s="135"/>
      <c r="D692" s="72" t="s">
        <v>267</v>
      </c>
      <c r="E692" s="142"/>
      <c r="F692" s="143"/>
      <c r="G692" s="142"/>
      <c r="H692" s="201">
        <f t="shared" si="84"/>
        <v>0</v>
      </c>
      <c r="I692" s="145"/>
      <c r="J692" s="145"/>
      <c r="K692" s="273"/>
      <c r="L692" s="144"/>
      <c r="M692" s="182"/>
      <c r="N692" s="182"/>
      <c r="O692" s="183"/>
      <c r="P692" s="25"/>
      <c r="Q692" s="29"/>
    </row>
    <row r="693" spans="1:17" s="30" customFormat="1" ht="15.75" hidden="1">
      <c r="A693" s="607"/>
      <c r="B693" s="607"/>
      <c r="C693" s="135"/>
      <c r="D693" s="72" t="s">
        <v>2013</v>
      </c>
      <c r="E693" s="142"/>
      <c r="F693" s="143"/>
      <c r="G693" s="142"/>
      <c r="H693" s="201">
        <f t="shared" si="84"/>
        <v>0</v>
      </c>
      <c r="I693" s="145"/>
      <c r="J693" s="145"/>
      <c r="K693" s="273"/>
      <c r="L693" s="144"/>
      <c r="M693" s="182"/>
      <c r="N693" s="182"/>
      <c r="O693" s="183"/>
      <c r="P693" s="25"/>
      <c r="Q693" s="29"/>
    </row>
    <row r="694" spans="1:17" s="30" customFormat="1" ht="15.75" hidden="1">
      <c r="A694" s="607"/>
      <c r="B694" s="607"/>
      <c r="C694" s="135"/>
      <c r="D694" s="13" t="s">
        <v>805</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607"/>
      <c r="B695" s="607"/>
      <c r="C695" s="135"/>
      <c r="D695" s="72" t="s">
        <v>806</v>
      </c>
      <c r="E695" s="142"/>
      <c r="F695" s="143"/>
      <c r="G695" s="142"/>
      <c r="H695" s="201">
        <f t="shared" si="84"/>
        <v>0</v>
      </c>
      <c r="I695" s="145"/>
      <c r="J695" s="145"/>
      <c r="K695" s="273"/>
      <c r="L695" s="144"/>
      <c r="M695" s="182"/>
      <c r="N695" s="182"/>
      <c r="O695" s="183"/>
      <c r="P695" s="25"/>
      <c r="Q695" s="29"/>
    </row>
    <row r="696" spans="1:17" s="30" customFormat="1" ht="15.75" hidden="1">
      <c r="A696" s="607"/>
      <c r="B696" s="607"/>
      <c r="C696" s="135"/>
      <c r="D696" s="72" t="s">
        <v>1678</v>
      </c>
      <c r="E696" s="142"/>
      <c r="F696" s="143"/>
      <c r="G696" s="142"/>
      <c r="H696" s="201">
        <f t="shared" si="84"/>
        <v>0</v>
      </c>
      <c r="I696" s="145"/>
      <c r="J696" s="145"/>
      <c r="K696" s="273"/>
      <c r="L696" s="144"/>
      <c r="M696" s="182"/>
      <c r="N696" s="182"/>
      <c r="O696" s="183"/>
      <c r="P696" s="25"/>
      <c r="Q696" s="29"/>
    </row>
    <row r="697" spans="1:17" s="30" customFormat="1" ht="31.5" hidden="1">
      <c r="A697" s="607"/>
      <c r="B697" s="607"/>
      <c r="C697" s="135"/>
      <c r="D697" s="72" t="s">
        <v>1679</v>
      </c>
      <c r="E697" s="142"/>
      <c r="F697" s="143"/>
      <c r="G697" s="142"/>
      <c r="H697" s="201">
        <f t="shared" si="84"/>
        <v>0</v>
      </c>
      <c r="I697" s="145"/>
      <c r="J697" s="145"/>
      <c r="K697" s="273"/>
      <c r="L697" s="144"/>
      <c r="M697" s="182"/>
      <c r="N697" s="182"/>
      <c r="O697" s="183"/>
      <c r="P697" s="25"/>
      <c r="Q697" s="29"/>
    </row>
    <row r="698" spans="1:17" s="30" customFormat="1" ht="31.5" hidden="1">
      <c r="A698" s="607"/>
      <c r="B698" s="607"/>
      <c r="C698" s="274" t="s">
        <v>1680</v>
      </c>
      <c r="D698" s="73" t="s">
        <v>1681</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607"/>
      <c r="B699" s="607"/>
      <c r="C699" s="274"/>
      <c r="D699" s="75" t="s">
        <v>2061</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607"/>
      <c r="B700" s="607"/>
      <c r="C700" s="274"/>
      <c r="D700" s="75" t="s">
        <v>2062</v>
      </c>
      <c r="E700" s="142"/>
      <c r="F700" s="143"/>
      <c r="G700" s="142"/>
      <c r="H700" s="144">
        <f t="shared" si="84"/>
        <v>0</v>
      </c>
      <c r="I700" s="76"/>
      <c r="J700" s="76"/>
      <c r="K700" s="76"/>
      <c r="L700" s="76"/>
      <c r="M700" s="77"/>
      <c r="N700" s="77"/>
      <c r="O700" s="77"/>
      <c r="P700" s="47"/>
      <c r="Q700" s="29"/>
    </row>
    <row r="701" spans="1:17" s="30" customFormat="1" ht="15.75" hidden="1">
      <c r="A701" s="607"/>
      <c r="B701" s="607"/>
      <c r="C701" s="274"/>
      <c r="D701" s="75" t="s">
        <v>2063</v>
      </c>
      <c r="E701" s="142"/>
      <c r="F701" s="143"/>
      <c r="G701" s="142"/>
      <c r="H701" s="144">
        <f t="shared" si="84"/>
        <v>0</v>
      </c>
      <c r="I701" s="76"/>
      <c r="J701" s="76"/>
      <c r="K701" s="76"/>
      <c r="L701" s="76"/>
      <c r="M701" s="77"/>
      <c r="N701" s="77"/>
      <c r="O701" s="77"/>
      <c r="P701" s="47"/>
      <c r="Q701" s="29"/>
    </row>
    <row r="702" spans="1:17" s="30" customFormat="1" ht="31.5" hidden="1">
      <c r="A702" s="607"/>
      <c r="B702" s="607"/>
      <c r="C702" s="274"/>
      <c r="D702" s="75" t="s">
        <v>1665</v>
      </c>
      <c r="E702" s="142"/>
      <c r="F702" s="143"/>
      <c r="G702" s="142"/>
      <c r="H702" s="144">
        <f t="shared" si="84"/>
        <v>0</v>
      </c>
      <c r="I702" s="76"/>
      <c r="J702" s="76"/>
      <c r="K702" s="76"/>
      <c r="L702" s="76"/>
      <c r="M702" s="77"/>
      <c r="N702" s="77"/>
      <c r="O702" s="77"/>
      <c r="P702" s="47"/>
      <c r="Q702" s="29"/>
    </row>
    <row r="703" spans="1:17" s="30" customFormat="1" ht="31.5" hidden="1">
      <c r="A703" s="607"/>
      <c r="B703" s="607"/>
      <c r="C703" s="274"/>
      <c r="D703" s="75" t="s">
        <v>1666</v>
      </c>
      <c r="E703" s="142"/>
      <c r="F703" s="143"/>
      <c r="G703" s="142"/>
      <c r="H703" s="144">
        <f t="shared" si="84"/>
        <v>0</v>
      </c>
      <c r="I703" s="76"/>
      <c r="J703" s="76"/>
      <c r="K703" s="76"/>
      <c r="L703" s="76"/>
      <c r="M703" s="77"/>
      <c r="N703" s="77"/>
      <c r="O703" s="77"/>
      <c r="P703" s="47"/>
      <c r="Q703" s="29"/>
    </row>
    <row r="704" spans="1:17" s="30" customFormat="1" ht="15.75" hidden="1">
      <c r="A704" s="607"/>
      <c r="B704" s="607"/>
      <c r="C704" s="135"/>
      <c r="D704" s="225" t="s">
        <v>1667</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607"/>
      <c r="B705" s="607"/>
      <c r="C705" s="135" t="s">
        <v>1668</v>
      </c>
      <c r="D705" s="275" t="s">
        <v>797</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607"/>
      <c r="B706" s="607"/>
      <c r="C706" s="135"/>
      <c r="D706" s="275" t="s">
        <v>798</v>
      </c>
      <c r="E706" s="142"/>
      <c r="F706" s="143"/>
      <c r="G706" s="142"/>
      <c r="H706" s="144">
        <f t="shared" si="84"/>
        <v>0</v>
      </c>
      <c r="I706" s="163"/>
      <c r="J706" s="163"/>
      <c r="K706" s="163"/>
      <c r="L706" s="145"/>
      <c r="M706" s="182"/>
      <c r="N706" s="182"/>
      <c r="O706" s="183"/>
      <c r="P706" s="25"/>
      <c r="Q706" s="29"/>
    </row>
    <row r="707" spans="1:17" s="30" customFormat="1" ht="15.75" hidden="1">
      <c r="A707" s="607"/>
      <c r="B707" s="607"/>
      <c r="C707" s="135" t="s">
        <v>799</v>
      </c>
      <c r="D707" s="276" t="s">
        <v>800</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607"/>
      <c r="B708" s="607"/>
      <c r="C708" s="135"/>
      <c r="D708" s="277" t="s">
        <v>801</v>
      </c>
      <c r="E708" s="142"/>
      <c r="F708" s="143"/>
      <c r="G708" s="142"/>
      <c r="H708" s="144">
        <f t="shared" si="84"/>
        <v>0</v>
      </c>
      <c r="I708" s="145"/>
      <c r="J708" s="145"/>
      <c r="K708" s="163"/>
      <c r="L708" s="145"/>
      <c r="M708" s="182"/>
      <c r="N708" s="182"/>
      <c r="O708" s="183"/>
      <c r="P708" s="25"/>
      <c r="Q708" s="29"/>
    </row>
    <row r="709" spans="1:17" s="30" customFormat="1" ht="47.25" hidden="1">
      <c r="A709" s="607"/>
      <c r="B709" s="607"/>
      <c r="C709" s="135"/>
      <c r="D709" s="277" t="s">
        <v>405</v>
      </c>
      <c r="E709" s="142"/>
      <c r="F709" s="143"/>
      <c r="G709" s="142"/>
      <c r="H709" s="144">
        <f t="shared" si="84"/>
        <v>0</v>
      </c>
      <c r="I709" s="145"/>
      <c r="J709" s="145"/>
      <c r="K709" s="163"/>
      <c r="L709" s="145"/>
      <c r="M709" s="182"/>
      <c r="N709" s="182"/>
      <c r="O709" s="183"/>
      <c r="P709" s="25"/>
      <c r="Q709" s="29"/>
    </row>
    <row r="710" spans="1:17" s="30" customFormat="1" ht="15.75" hidden="1">
      <c r="A710" s="607"/>
      <c r="B710" s="607"/>
      <c r="C710" s="135"/>
      <c r="D710" s="276" t="s">
        <v>1897</v>
      </c>
      <c r="E710" s="142"/>
      <c r="F710" s="143"/>
      <c r="G710" s="142"/>
      <c r="H710" s="144">
        <f t="shared" si="84"/>
        <v>0</v>
      </c>
      <c r="I710" s="145"/>
      <c r="J710" s="145"/>
      <c r="K710" s="163"/>
      <c r="L710" s="145"/>
      <c r="M710" s="182"/>
      <c r="N710" s="182"/>
      <c r="O710" s="183"/>
      <c r="P710" s="25"/>
      <c r="Q710" s="29"/>
    </row>
    <row r="711" spans="1:17" s="30" customFormat="1" ht="15.75" hidden="1">
      <c r="A711" s="607"/>
      <c r="B711" s="607"/>
      <c r="C711" s="135"/>
      <c r="D711" s="276" t="s">
        <v>566</v>
      </c>
      <c r="E711" s="142"/>
      <c r="F711" s="143"/>
      <c r="G711" s="142"/>
      <c r="H711" s="144">
        <f t="shared" si="84"/>
        <v>0</v>
      </c>
      <c r="I711" s="145"/>
      <c r="J711" s="145"/>
      <c r="K711" s="163"/>
      <c r="L711" s="145"/>
      <c r="M711" s="182"/>
      <c r="N711" s="182"/>
      <c r="O711" s="183"/>
      <c r="P711" s="25"/>
      <c r="Q711" s="29"/>
    </row>
    <row r="712" spans="1:17" s="30" customFormat="1" ht="15.75" hidden="1">
      <c r="A712" s="607"/>
      <c r="B712" s="607"/>
      <c r="C712" s="166"/>
      <c r="D712" s="272" t="s">
        <v>567</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607"/>
      <c r="B713" s="607"/>
      <c r="C713" s="135"/>
      <c r="D713" s="276" t="s">
        <v>568</v>
      </c>
      <c r="E713" s="142"/>
      <c r="F713" s="143"/>
      <c r="G713" s="142"/>
      <c r="H713" s="144">
        <f t="shared" si="84"/>
        <v>0</v>
      </c>
      <c r="I713" s="145"/>
      <c r="J713" s="145"/>
      <c r="K713" s="163"/>
      <c r="L713" s="145"/>
      <c r="M713" s="182"/>
      <c r="N713" s="182"/>
      <c r="O713" s="183"/>
      <c r="P713" s="25"/>
      <c r="Q713" s="29"/>
    </row>
    <row r="714" spans="1:17" s="30" customFormat="1" ht="31.5" hidden="1">
      <c r="A714" s="607"/>
      <c r="B714" s="607"/>
      <c r="C714" s="135"/>
      <c r="D714" s="276" t="s">
        <v>569</v>
      </c>
      <c r="E714" s="142"/>
      <c r="F714" s="143"/>
      <c r="G714" s="142"/>
      <c r="H714" s="144">
        <f t="shared" si="84"/>
        <v>0</v>
      </c>
      <c r="I714" s="145"/>
      <c r="J714" s="145"/>
      <c r="K714" s="163"/>
      <c r="L714" s="145"/>
      <c r="M714" s="182"/>
      <c r="N714" s="182"/>
      <c r="O714" s="183"/>
      <c r="P714" s="25"/>
      <c r="Q714" s="29"/>
    </row>
    <row r="715" spans="1:17" s="30" customFormat="1" ht="31.5" hidden="1">
      <c r="A715" s="607"/>
      <c r="B715" s="607"/>
      <c r="C715" s="135"/>
      <c r="D715" s="276" t="s">
        <v>570</v>
      </c>
      <c r="E715" s="142"/>
      <c r="F715" s="143"/>
      <c r="G715" s="142"/>
      <c r="H715" s="144">
        <f t="shared" si="84"/>
        <v>0</v>
      </c>
      <c r="I715" s="145"/>
      <c r="J715" s="145"/>
      <c r="K715" s="163"/>
      <c r="L715" s="145"/>
      <c r="M715" s="182"/>
      <c r="N715" s="182"/>
      <c r="O715" s="183"/>
      <c r="P715" s="25"/>
      <c r="Q715" s="29"/>
    </row>
    <row r="716" spans="1:17" s="30" customFormat="1" ht="31.5" hidden="1">
      <c r="A716" s="607"/>
      <c r="B716" s="607"/>
      <c r="C716" s="135"/>
      <c r="D716" s="276" t="s">
        <v>571</v>
      </c>
      <c r="E716" s="142"/>
      <c r="F716" s="143"/>
      <c r="G716" s="142"/>
      <c r="H716" s="144">
        <f t="shared" si="84"/>
        <v>0</v>
      </c>
      <c r="I716" s="145"/>
      <c r="J716" s="145"/>
      <c r="K716" s="163"/>
      <c r="L716" s="145"/>
      <c r="M716" s="182"/>
      <c r="N716" s="182"/>
      <c r="O716" s="183"/>
      <c r="P716" s="25"/>
      <c r="Q716" s="29"/>
    </row>
    <row r="717" spans="1:17" s="30" customFormat="1" ht="31.5" hidden="1">
      <c r="A717" s="607"/>
      <c r="B717" s="607"/>
      <c r="C717" s="135"/>
      <c r="D717" s="276" t="s">
        <v>369</v>
      </c>
      <c r="E717" s="142"/>
      <c r="F717" s="143"/>
      <c r="G717" s="142"/>
      <c r="H717" s="144">
        <f t="shared" si="84"/>
        <v>0</v>
      </c>
      <c r="I717" s="145"/>
      <c r="J717" s="145"/>
      <c r="K717" s="163"/>
      <c r="L717" s="145"/>
      <c r="M717" s="182"/>
      <c r="N717" s="182"/>
      <c r="O717" s="183"/>
      <c r="P717" s="25"/>
      <c r="Q717" s="29"/>
    </row>
    <row r="718" spans="1:17" s="30" customFormat="1" ht="31.5" hidden="1">
      <c r="A718" s="607"/>
      <c r="B718" s="607"/>
      <c r="C718" s="135"/>
      <c r="D718" s="276" t="s">
        <v>370</v>
      </c>
      <c r="E718" s="142"/>
      <c r="F718" s="143"/>
      <c r="G718" s="142"/>
      <c r="H718" s="144">
        <f t="shared" si="84"/>
        <v>0</v>
      </c>
      <c r="I718" s="145"/>
      <c r="J718" s="145"/>
      <c r="K718" s="163"/>
      <c r="L718" s="145"/>
      <c r="M718" s="182"/>
      <c r="N718" s="182"/>
      <c r="O718" s="183"/>
      <c r="P718" s="25"/>
      <c r="Q718" s="29"/>
    </row>
    <row r="719" spans="1:17" s="30" customFormat="1" ht="15.75" hidden="1">
      <c r="A719" s="607"/>
      <c r="B719" s="607"/>
      <c r="C719" s="135"/>
      <c r="D719" s="276"/>
      <c r="E719" s="142"/>
      <c r="F719" s="143"/>
      <c r="G719" s="142"/>
      <c r="H719" s="144"/>
      <c r="I719" s="145"/>
      <c r="J719" s="145"/>
      <c r="K719" s="163"/>
      <c r="L719" s="145"/>
      <c r="M719" s="182"/>
      <c r="N719" s="182"/>
      <c r="O719" s="183"/>
      <c r="P719" s="25"/>
      <c r="Q719" s="29"/>
    </row>
    <row r="720" spans="1:17" s="30" customFormat="1" ht="15.75" hidden="1">
      <c r="A720" s="607"/>
      <c r="B720" s="607"/>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607"/>
      <c r="B721" s="607"/>
      <c r="C721" s="135"/>
      <c r="D721" s="276"/>
      <c r="E721" s="142"/>
      <c r="F721" s="143"/>
      <c r="G721" s="142"/>
      <c r="H721" s="144">
        <f t="shared" si="85"/>
        <v>0</v>
      </c>
      <c r="I721" s="145"/>
      <c r="J721" s="145"/>
      <c r="K721" s="163"/>
      <c r="L721" s="145"/>
      <c r="M721" s="182"/>
      <c r="N721" s="182"/>
      <c r="O721" s="183"/>
      <c r="P721" s="25"/>
      <c r="Q721" s="29"/>
    </row>
    <row r="722" spans="1:17" s="30" customFormat="1" ht="15.75" hidden="1">
      <c r="A722" s="607"/>
      <c r="B722" s="607"/>
      <c r="C722" s="135"/>
      <c r="D722" s="276"/>
      <c r="E722" s="142"/>
      <c r="F722" s="143"/>
      <c r="G722" s="142"/>
      <c r="H722" s="144">
        <f t="shared" si="85"/>
        <v>0</v>
      </c>
      <c r="I722" s="145"/>
      <c r="J722" s="145"/>
      <c r="K722" s="163"/>
      <c r="L722" s="145"/>
      <c r="M722" s="182"/>
      <c r="N722" s="182"/>
      <c r="O722" s="183"/>
      <c r="P722" s="25"/>
      <c r="Q722" s="29"/>
    </row>
    <row r="723" spans="1:17" s="30" customFormat="1" ht="15.75" hidden="1">
      <c r="A723" s="607"/>
      <c r="B723" s="607"/>
      <c r="C723" s="135"/>
      <c r="D723" s="272" t="s">
        <v>1935</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607"/>
      <c r="B724" s="607"/>
      <c r="C724" s="135" t="s">
        <v>1362</v>
      </c>
      <c r="D724" s="271" t="s">
        <v>1363</v>
      </c>
      <c r="E724" s="142">
        <v>120</v>
      </c>
      <c r="F724" s="143">
        <f>100%-((E724-G724)/E724)</f>
        <v>1</v>
      </c>
      <c r="G724" s="142">
        <v>120</v>
      </c>
      <c r="H724" s="144">
        <f t="shared" si="85"/>
        <v>0</v>
      </c>
      <c r="I724" s="145"/>
      <c r="J724" s="145"/>
      <c r="K724" s="145"/>
      <c r="L724" s="145"/>
      <c r="M724" s="182"/>
      <c r="N724" s="182"/>
      <c r="O724" s="182"/>
      <c r="P724" s="47"/>
      <c r="Q724" s="29"/>
    </row>
    <row r="725" spans="1:16" ht="31.5" hidden="1">
      <c r="A725" s="607"/>
      <c r="B725" s="607"/>
      <c r="C725" s="135" t="s">
        <v>572</v>
      </c>
      <c r="D725" s="14" t="s">
        <v>1926</v>
      </c>
      <c r="E725" s="142">
        <v>33.368</v>
      </c>
      <c r="F725" s="143">
        <f>100%-((E725-G725)/E725)</f>
        <v>1</v>
      </c>
      <c r="G725" s="142">
        <v>33.368</v>
      </c>
      <c r="H725" s="144">
        <f t="shared" si="85"/>
        <v>0</v>
      </c>
      <c r="I725" s="145"/>
      <c r="J725" s="145"/>
      <c r="K725" s="145"/>
      <c r="L725" s="49"/>
      <c r="M725" s="146"/>
      <c r="N725" s="146"/>
      <c r="O725" s="147"/>
      <c r="P725" s="25"/>
    </row>
    <row r="726" spans="1:16" ht="31.5" hidden="1">
      <c r="A726" s="607"/>
      <c r="B726" s="607"/>
      <c r="C726" s="135" t="s">
        <v>761</v>
      </c>
      <c r="D726" s="14" t="s">
        <v>1272</v>
      </c>
      <c r="E726" s="142">
        <v>32.801</v>
      </c>
      <c r="F726" s="143">
        <f>100%-((E726-G726)/E726)</f>
        <v>1</v>
      </c>
      <c r="G726" s="142">
        <v>32.801</v>
      </c>
      <c r="H726" s="144">
        <f t="shared" si="85"/>
        <v>0</v>
      </c>
      <c r="I726" s="145"/>
      <c r="J726" s="145"/>
      <c r="K726" s="145"/>
      <c r="L726" s="49"/>
      <c r="M726" s="146"/>
      <c r="N726" s="146"/>
      <c r="O726" s="147"/>
      <c r="P726" s="25"/>
    </row>
    <row r="727" spans="1:16" ht="31.5" hidden="1">
      <c r="A727" s="607"/>
      <c r="B727" s="607"/>
      <c r="C727" s="135" t="s">
        <v>664</v>
      </c>
      <c r="D727" s="14" t="s">
        <v>1189</v>
      </c>
      <c r="E727" s="142">
        <v>61.707</v>
      </c>
      <c r="F727" s="143">
        <f>100%-((E727-G727)/E727)</f>
        <v>1</v>
      </c>
      <c r="G727" s="142">
        <v>61.707</v>
      </c>
      <c r="H727" s="144">
        <f t="shared" si="85"/>
        <v>0</v>
      </c>
      <c r="I727" s="145"/>
      <c r="J727" s="145"/>
      <c r="K727" s="145"/>
      <c r="L727" s="49"/>
      <c r="M727" s="146"/>
      <c r="N727" s="146"/>
      <c r="O727" s="239"/>
      <c r="P727" s="25"/>
    </row>
    <row r="728" spans="1:16" ht="31.5" hidden="1">
      <c r="A728" s="607"/>
      <c r="B728" s="607"/>
      <c r="C728" s="135" t="s">
        <v>55</v>
      </c>
      <c r="D728" s="14" t="s">
        <v>1190</v>
      </c>
      <c r="E728" s="142">
        <v>21.67</v>
      </c>
      <c r="F728" s="143">
        <f>100%-((E728-G728)/E728)</f>
        <v>1</v>
      </c>
      <c r="G728" s="142">
        <v>21.67</v>
      </c>
      <c r="H728" s="144">
        <f t="shared" si="85"/>
        <v>0</v>
      </c>
      <c r="I728" s="145"/>
      <c r="J728" s="145"/>
      <c r="K728" s="145"/>
      <c r="L728" s="49"/>
      <c r="M728" s="146"/>
      <c r="N728" s="146"/>
      <c r="O728" s="239"/>
      <c r="P728" s="25"/>
    </row>
    <row r="729" spans="1:16" ht="31.5" hidden="1">
      <c r="A729" s="607"/>
      <c r="B729" s="607"/>
      <c r="C729" s="135" t="s">
        <v>30</v>
      </c>
      <c r="D729" s="14" t="s">
        <v>422</v>
      </c>
      <c r="E729" s="142">
        <v>200</v>
      </c>
      <c r="F729" s="143">
        <v>1</v>
      </c>
      <c r="G729" s="142">
        <v>200</v>
      </c>
      <c r="H729" s="144">
        <f t="shared" si="85"/>
        <v>0</v>
      </c>
      <c r="I729" s="145"/>
      <c r="J729" s="145"/>
      <c r="K729" s="145"/>
      <c r="L729" s="49"/>
      <c r="M729" s="146"/>
      <c r="N729" s="146"/>
      <c r="O729" s="239"/>
      <c r="P729" s="25"/>
    </row>
    <row r="730" spans="1:16" ht="31.5" hidden="1">
      <c r="A730" s="607"/>
      <c r="B730" s="607"/>
      <c r="C730" s="135" t="s">
        <v>842</v>
      </c>
      <c r="D730" s="14" t="s">
        <v>1938</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607"/>
      <c r="B731" s="607"/>
      <c r="C731" s="135"/>
      <c r="D731" s="78" t="s">
        <v>1939</v>
      </c>
      <c r="E731" s="142">
        <v>123.5</v>
      </c>
      <c r="F731" s="143">
        <f t="shared" si="86"/>
        <v>1</v>
      </c>
      <c r="G731" s="142">
        <v>123.5</v>
      </c>
      <c r="H731" s="144">
        <f t="shared" si="85"/>
        <v>0</v>
      </c>
      <c r="I731" s="145"/>
      <c r="J731" s="145"/>
      <c r="K731" s="145"/>
      <c r="L731" s="49"/>
      <c r="M731" s="146"/>
      <c r="N731" s="146"/>
      <c r="O731" s="239"/>
      <c r="P731" s="25"/>
    </row>
    <row r="732" spans="1:16" ht="31.5" hidden="1">
      <c r="A732" s="607"/>
      <c r="B732" s="607"/>
      <c r="C732" s="135"/>
      <c r="D732" s="78" t="s">
        <v>978</v>
      </c>
      <c r="E732" s="142">
        <v>80</v>
      </c>
      <c r="F732" s="143">
        <f t="shared" si="86"/>
        <v>1</v>
      </c>
      <c r="G732" s="142">
        <v>80</v>
      </c>
      <c r="H732" s="144">
        <f t="shared" si="85"/>
        <v>0</v>
      </c>
      <c r="I732" s="145"/>
      <c r="J732" s="145"/>
      <c r="K732" s="145"/>
      <c r="L732" s="49"/>
      <c r="M732" s="146"/>
      <c r="N732" s="146"/>
      <c r="O732" s="239"/>
      <c r="P732" s="25"/>
    </row>
    <row r="733" spans="1:16" ht="31.5" hidden="1">
      <c r="A733" s="607"/>
      <c r="B733" s="607"/>
      <c r="C733" s="135"/>
      <c r="D733" s="78" t="s">
        <v>979</v>
      </c>
      <c r="E733" s="142">
        <v>50</v>
      </c>
      <c r="F733" s="143">
        <f t="shared" si="86"/>
        <v>1</v>
      </c>
      <c r="G733" s="142">
        <v>50</v>
      </c>
      <c r="H733" s="144">
        <f t="shared" si="85"/>
        <v>0</v>
      </c>
      <c r="I733" s="145"/>
      <c r="J733" s="145"/>
      <c r="K733" s="145"/>
      <c r="L733" s="49"/>
      <c r="M733" s="146"/>
      <c r="N733" s="146"/>
      <c r="O733" s="239"/>
      <c r="P733" s="25"/>
    </row>
    <row r="734" spans="1:16" ht="31.5" hidden="1">
      <c r="A734" s="607"/>
      <c r="B734" s="607"/>
      <c r="C734" s="135"/>
      <c r="D734" s="78" t="s">
        <v>1875</v>
      </c>
      <c r="E734" s="142">
        <v>122.123</v>
      </c>
      <c r="F734" s="143">
        <f t="shared" si="86"/>
        <v>1</v>
      </c>
      <c r="G734" s="142">
        <v>122.123</v>
      </c>
      <c r="H734" s="144">
        <f t="shared" si="85"/>
        <v>0</v>
      </c>
      <c r="I734" s="145"/>
      <c r="J734" s="145"/>
      <c r="K734" s="145"/>
      <c r="L734" s="49"/>
      <c r="M734" s="146"/>
      <c r="N734" s="146"/>
      <c r="O734" s="239"/>
      <c r="P734" s="25"/>
    </row>
    <row r="735" spans="1:16" ht="31.5" hidden="1">
      <c r="A735" s="607"/>
      <c r="B735" s="607"/>
      <c r="C735" s="135"/>
      <c r="D735" s="78" t="s">
        <v>1962</v>
      </c>
      <c r="E735" s="142">
        <v>31.68</v>
      </c>
      <c r="F735" s="143">
        <f t="shared" si="86"/>
        <v>1</v>
      </c>
      <c r="G735" s="142">
        <v>31.68</v>
      </c>
      <c r="H735" s="144">
        <f t="shared" si="85"/>
        <v>0</v>
      </c>
      <c r="I735" s="145"/>
      <c r="J735" s="145"/>
      <c r="K735" s="145"/>
      <c r="L735" s="49"/>
      <c r="M735" s="146"/>
      <c r="N735" s="146"/>
      <c r="O735" s="239"/>
      <c r="P735" s="25"/>
    </row>
    <row r="736" spans="1:16" ht="47.25" hidden="1">
      <c r="A736" s="607"/>
      <c r="B736" s="607"/>
      <c r="C736" s="135"/>
      <c r="D736" s="13" t="s">
        <v>1260</v>
      </c>
      <c r="E736" s="142">
        <v>88.322</v>
      </c>
      <c r="F736" s="143">
        <f t="shared" si="86"/>
        <v>1</v>
      </c>
      <c r="G736" s="142">
        <v>88.322</v>
      </c>
      <c r="H736" s="144">
        <f t="shared" si="85"/>
        <v>0</v>
      </c>
      <c r="I736" s="145"/>
      <c r="J736" s="145"/>
      <c r="K736" s="145"/>
      <c r="L736" s="49"/>
      <c r="M736" s="146"/>
      <c r="N736" s="146"/>
      <c r="O736" s="239"/>
      <c r="P736" s="25"/>
    </row>
    <row r="737" spans="1:16" ht="31.5" hidden="1">
      <c r="A737" s="607"/>
      <c r="B737" s="607"/>
      <c r="C737" s="135"/>
      <c r="D737" s="78" t="s">
        <v>828</v>
      </c>
      <c r="E737" s="142">
        <v>100</v>
      </c>
      <c r="F737" s="143">
        <f t="shared" si="86"/>
        <v>1</v>
      </c>
      <c r="G737" s="142">
        <v>100</v>
      </c>
      <c r="H737" s="144">
        <f t="shared" si="85"/>
        <v>0</v>
      </c>
      <c r="I737" s="145"/>
      <c r="J737" s="145"/>
      <c r="K737" s="145"/>
      <c r="L737" s="49"/>
      <c r="M737" s="146"/>
      <c r="N737" s="146"/>
      <c r="O737" s="239"/>
      <c r="P737" s="25"/>
    </row>
    <row r="738" spans="1:16" ht="31.5" hidden="1">
      <c r="A738" s="607"/>
      <c r="B738" s="607"/>
      <c r="C738" s="135"/>
      <c r="D738" s="78" t="s">
        <v>1884</v>
      </c>
      <c r="E738" s="142">
        <v>32.606</v>
      </c>
      <c r="F738" s="143">
        <f t="shared" si="86"/>
        <v>1</v>
      </c>
      <c r="G738" s="142">
        <v>32.606</v>
      </c>
      <c r="H738" s="144">
        <f t="shared" si="85"/>
        <v>0</v>
      </c>
      <c r="I738" s="145"/>
      <c r="J738" s="145"/>
      <c r="K738" s="145"/>
      <c r="L738" s="49"/>
      <c r="M738" s="146"/>
      <c r="N738" s="146"/>
      <c r="O738" s="239"/>
      <c r="P738" s="25"/>
    </row>
    <row r="739" spans="1:16" ht="31.5" hidden="1">
      <c r="A739" s="607"/>
      <c r="B739" s="607"/>
      <c r="C739" s="135"/>
      <c r="D739" s="78" t="s">
        <v>1885</v>
      </c>
      <c r="E739" s="142">
        <v>120</v>
      </c>
      <c r="F739" s="143">
        <f t="shared" si="86"/>
        <v>1</v>
      </c>
      <c r="G739" s="142">
        <v>120</v>
      </c>
      <c r="H739" s="144">
        <f t="shared" si="85"/>
        <v>0</v>
      </c>
      <c r="I739" s="145"/>
      <c r="J739" s="145"/>
      <c r="K739" s="145"/>
      <c r="L739" s="49"/>
      <c r="M739" s="146"/>
      <c r="N739" s="146"/>
      <c r="O739" s="239"/>
      <c r="P739" s="25"/>
    </row>
    <row r="740" spans="1:16" ht="31.5" hidden="1">
      <c r="A740" s="607"/>
      <c r="B740" s="607"/>
      <c r="C740" s="135"/>
      <c r="D740" s="78" t="s">
        <v>1886</v>
      </c>
      <c r="E740" s="142">
        <v>72.87</v>
      </c>
      <c r="F740" s="143">
        <f t="shared" si="86"/>
        <v>1</v>
      </c>
      <c r="G740" s="142">
        <v>72.87</v>
      </c>
      <c r="H740" s="144">
        <f t="shared" si="85"/>
        <v>0</v>
      </c>
      <c r="I740" s="145"/>
      <c r="J740" s="145"/>
      <c r="K740" s="145"/>
      <c r="L740" s="49"/>
      <c r="M740" s="146"/>
      <c r="N740" s="146"/>
      <c r="O740" s="239"/>
      <c r="P740" s="25"/>
    </row>
    <row r="741" spans="1:16" ht="31.5" hidden="1">
      <c r="A741" s="607"/>
      <c r="B741" s="607"/>
      <c r="C741" s="135"/>
      <c r="D741" s="78" t="s">
        <v>1887</v>
      </c>
      <c r="E741" s="142">
        <v>19.44</v>
      </c>
      <c r="F741" s="143">
        <f t="shared" si="86"/>
        <v>1</v>
      </c>
      <c r="G741" s="142">
        <v>19.44</v>
      </c>
      <c r="H741" s="144">
        <f t="shared" si="85"/>
        <v>0</v>
      </c>
      <c r="I741" s="145"/>
      <c r="J741" s="145"/>
      <c r="K741" s="145"/>
      <c r="L741" s="49"/>
      <c r="M741" s="146"/>
      <c r="N741" s="146"/>
      <c r="O741" s="239"/>
      <c r="P741" s="25"/>
    </row>
    <row r="742" spans="1:16" ht="31.5" hidden="1">
      <c r="A742" s="607"/>
      <c r="B742" s="607"/>
      <c r="C742" s="135"/>
      <c r="D742" s="78" t="s">
        <v>1690</v>
      </c>
      <c r="E742" s="142">
        <v>27.456</v>
      </c>
      <c r="F742" s="143">
        <f t="shared" si="86"/>
        <v>1</v>
      </c>
      <c r="G742" s="142">
        <v>27.456</v>
      </c>
      <c r="H742" s="144">
        <f t="shared" si="85"/>
        <v>0</v>
      </c>
      <c r="I742" s="145"/>
      <c r="J742" s="145"/>
      <c r="K742" s="145"/>
      <c r="L742" s="49"/>
      <c r="M742" s="146"/>
      <c r="N742" s="146"/>
      <c r="O742" s="239"/>
      <c r="P742" s="25"/>
    </row>
    <row r="743" spans="1:16" ht="31.5" hidden="1">
      <c r="A743" s="607"/>
      <c r="B743" s="607"/>
      <c r="C743" s="135"/>
      <c r="D743" s="78" t="s">
        <v>1691</v>
      </c>
      <c r="E743" s="142">
        <v>100</v>
      </c>
      <c r="F743" s="143">
        <f t="shared" si="86"/>
        <v>1</v>
      </c>
      <c r="G743" s="142">
        <v>100</v>
      </c>
      <c r="H743" s="144">
        <f t="shared" si="85"/>
        <v>0</v>
      </c>
      <c r="I743" s="145"/>
      <c r="J743" s="145"/>
      <c r="K743" s="145"/>
      <c r="L743" s="49"/>
      <c r="M743" s="146"/>
      <c r="N743" s="146"/>
      <c r="O743" s="239"/>
      <c r="P743" s="25"/>
    </row>
    <row r="744" spans="1:16" ht="31.5" hidden="1">
      <c r="A744" s="607"/>
      <c r="B744" s="607"/>
      <c r="C744" s="135"/>
      <c r="D744" s="78" t="s">
        <v>972</v>
      </c>
      <c r="E744" s="142"/>
      <c r="F744" s="143"/>
      <c r="G744" s="142"/>
      <c r="H744" s="144">
        <f t="shared" si="85"/>
        <v>0</v>
      </c>
      <c r="I744" s="145"/>
      <c r="J744" s="145"/>
      <c r="K744" s="145"/>
      <c r="L744" s="49"/>
      <c r="M744" s="146"/>
      <c r="N744" s="146"/>
      <c r="O744" s="239"/>
      <c r="P744" s="25"/>
    </row>
    <row r="745" spans="1:16" ht="31.5" hidden="1">
      <c r="A745" s="607"/>
      <c r="B745" s="607"/>
      <c r="C745" s="135"/>
      <c r="D745" s="78" t="s">
        <v>839</v>
      </c>
      <c r="E745" s="142"/>
      <c r="F745" s="143"/>
      <c r="G745" s="142"/>
      <c r="H745" s="144">
        <f t="shared" si="85"/>
        <v>0</v>
      </c>
      <c r="I745" s="145"/>
      <c r="J745" s="145"/>
      <c r="K745" s="145"/>
      <c r="L745" s="49"/>
      <c r="M745" s="146"/>
      <c r="N745" s="146"/>
      <c r="O745" s="239"/>
      <c r="P745" s="25"/>
    </row>
    <row r="746" spans="1:16" ht="31.5" hidden="1">
      <c r="A746" s="607"/>
      <c r="B746" s="607"/>
      <c r="C746" s="135"/>
      <c r="D746" s="78" t="s">
        <v>283</v>
      </c>
      <c r="E746" s="142">
        <v>296.733</v>
      </c>
      <c r="F746" s="143">
        <f>100%-((E746-G746)/E746)</f>
        <v>1</v>
      </c>
      <c r="G746" s="142">
        <v>296.733</v>
      </c>
      <c r="H746" s="144">
        <f t="shared" si="85"/>
        <v>0</v>
      </c>
      <c r="I746" s="145"/>
      <c r="J746" s="145"/>
      <c r="K746" s="145"/>
      <c r="L746" s="49"/>
      <c r="M746" s="146"/>
      <c r="N746" s="146"/>
      <c r="O746" s="239"/>
      <c r="P746" s="25"/>
    </row>
    <row r="747" spans="1:16" ht="31.5" hidden="1">
      <c r="A747" s="607"/>
      <c r="B747" s="607"/>
      <c r="C747" s="135"/>
      <c r="D747" s="78" t="s">
        <v>325</v>
      </c>
      <c r="E747" s="142">
        <v>103.74375</v>
      </c>
      <c r="F747" s="143">
        <f>100%-((E747-G747)/E747)</f>
        <v>1</v>
      </c>
      <c r="G747" s="142">
        <v>103.74375</v>
      </c>
      <c r="H747" s="144">
        <f t="shared" si="85"/>
        <v>0</v>
      </c>
      <c r="I747" s="145"/>
      <c r="J747" s="145"/>
      <c r="K747" s="145"/>
      <c r="L747" s="49"/>
      <c r="M747" s="146"/>
      <c r="N747" s="146"/>
      <c r="O747" s="239"/>
      <c r="P747" s="25"/>
    </row>
    <row r="748" spans="1:16" ht="47.25" hidden="1">
      <c r="A748" s="607"/>
      <c r="B748" s="607"/>
      <c r="C748" s="135"/>
      <c r="D748" s="79" t="s">
        <v>1652</v>
      </c>
      <c r="E748" s="142"/>
      <c r="F748" s="143"/>
      <c r="G748" s="142"/>
      <c r="H748" s="144">
        <f t="shared" si="85"/>
        <v>0</v>
      </c>
      <c r="I748" s="145"/>
      <c r="J748" s="145"/>
      <c r="K748" s="145"/>
      <c r="L748" s="49"/>
      <c r="M748" s="146"/>
      <c r="N748" s="146"/>
      <c r="O748" s="239"/>
      <c r="P748" s="25"/>
    </row>
    <row r="749" spans="1:16" ht="31.5" hidden="1">
      <c r="A749" s="607"/>
      <c r="B749" s="607"/>
      <c r="C749" s="135"/>
      <c r="D749" s="13" t="s">
        <v>1653</v>
      </c>
      <c r="E749" s="142"/>
      <c r="F749" s="143"/>
      <c r="G749" s="142"/>
      <c r="H749" s="144">
        <f t="shared" si="85"/>
        <v>0</v>
      </c>
      <c r="I749" s="145"/>
      <c r="J749" s="145"/>
      <c r="K749" s="145"/>
      <c r="L749" s="49"/>
      <c r="M749" s="146"/>
      <c r="N749" s="146"/>
      <c r="O749" s="239"/>
      <c r="P749" s="25"/>
    </row>
    <row r="750" spans="1:16" ht="47.25" hidden="1">
      <c r="A750" s="607"/>
      <c r="B750" s="607"/>
      <c r="C750" s="135"/>
      <c r="D750" s="13" t="s">
        <v>1717</v>
      </c>
      <c r="E750" s="142"/>
      <c r="F750" s="143"/>
      <c r="G750" s="142"/>
      <c r="H750" s="144">
        <f t="shared" si="85"/>
        <v>0</v>
      </c>
      <c r="I750" s="145"/>
      <c r="J750" s="145"/>
      <c r="K750" s="145"/>
      <c r="L750" s="49"/>
      <c r="M750" s="146"/>
      <c r="N750" s="146"/>
      <c r="O750" s="239"/>
      <c r="P750" s="25"/>
    </row>
    <row r="751" spans="1:16" ht="47.25" hidden="1">
      <c r="A751" s="607"/>
      <c r="B751" s="607"/>
      <c r="C751" s="135"/>
      <c r="D751" s="13" t="s">
        <v>1718</v>
      </c>
      <c r="E751" s="142"/>
      <c r="F751" s="143"/>
      <c r="G751" s="142"/>
      <c r="H751" s="144">
        <f t="shared" si="85"/>
        <v>0</v>
      </c>
      <c r="I751" s="145"/>
      <c r="J751" s="145"/>
      <c r="K751" s="145"/>
      <c r="L751" s="49"/>
      <c r="M751" s="146"/>
      <c r="N751" s="146"/>
      <c r="O751" s="239"/>
      <c r="P751" s="25"/>
    </row>
    <row r="752" spans="1:16" ht="31.5" hidden="1">
      <c r="A752" s="607"/>
      <c r="B752" s="607"/>
      <c r="C752" s="135"/>
      <c r="D752" s="14" t="s">
        <v>1119</v>
      </c>
      <c r="E752" s="142"/>
      <c r="F752" s="143"/>
      <c r="G752" s="142"/>
      <c r="H752" s="144">
        <f aca="true" t="shared" si="87" ref="H752:H783">I752+K752+L752+M752+N752+O752</f>
        <v>0</v>
      </c>
      <c r="I752" s="145"/>
      <c r="J752" s="145"/>
      <c r="K752" s="145"/>
      <c r="L752" s="49"/>
      <c r="M752" s="146"/>
      <c r="N752" s="146"/>
      <c r="O752" s="239"/>
      <c r="P752" s="25"/>
    </row>
    <row r="753" spans="1:16" ht="15.75" hidden="1">
      <c r="A753" s="607"/>
      <c r="B753" s="607"/>
      <c r="C753" s="135"/>
      <c r="D753" s="14" t="s">
        <v>1481</v>
      </c>
      <c r="E753" s="142"/>
      <c r="F753" s="143"/>
      <c r="G753" s="142"/>
      <c r="H753" s="144">
        <f t="shared" si="87"/>
        <v>0</v>
      </c>
      <c r="I753" s="145"/>
      <c r="J753" s="145"/>
      <c r="K753" s="145"/>
      <c r="L753" s="49"/>
      <c r="M753" s="146"/>
      <c r="N753" s="146"/>
      <c r="O753" s="239"/>
      <c r="P753" s="25"/>
    </row>
    <row r="754" spans="1:16" ht="15.75" hidden="1">
      <c r="A754" s="607"/>
      <c r="B754" s="607"/>
      <c r="C754" s="135"/>
      <c r="D754" s="14" t="s">
        <v>1154</v>
      </c>
      <c r="E754" s="142"/>
      <c r="F754" s="143"/>
      <c r="G754" s="142"/>
      <c r="H754" s="144">
        <f t="shared" si="87"/>
        <v>0</v>
      </c>
      <c r="I754" s="145"/>
      <c r="J754" s="145"/>
      <c r="K754" s="145"/>
      <c r="L754" s="49"/>
      <c r="M754" s="146"/>
      <c r="N754" s="146"/>
      <c r="O754" s="239"/>
      <c r="P754" s="25"/>
    </row>
    <row r="755" spans="1:16" ht="31.5" hidden="1">
      <c r="A755" s="607"/>
      <c r="B755" s="607"/>
      <c r="C755" s="135"/>
      <c r="D755" s="14" t="s">
        <v>1997</v>
      </c>
      <c r="E755" s="142"/>
      <c r="F755" s="143"/>
      <c r="G755" s="142"/>
      <c r="H755" s="144">
        <f t="shared" si="87"/>
        <v>0</v>
      </c>
      <c r="I755" s="145"/>
      <c r="J755" s="145"/>
      <c r="K755" s="145"/>
      <c r="L755" s="49"/>
      <c r="M755" s="146"/>
      <c r="N755" s="146"/>
      <c r="O755" s="239"/>
      <c r="P755" s="25"/>
    </row>
    <row r="756" spans="1:16" ht="47.25" hidden="1">
      <c r="A756" s="607"/>
      <c r="B756" s="607"/>
      <c r="C756" s="135"/>
      <c r="D756" s="13" t="s">
        <v>1170</v>
      </c>
      <c r="E756" s="142"/>
      <c r="F756" s="143"/>
      <c r="G756" s="142"/>
      <c r="H756" s="144">
        <f t="shared" si="87"/>
        <v>0</v>
      </c>
      <c r="I756" s="145"/>
      <c r="J756" s="145"/>
      <c r="K756" s="145"/>
      <c r="L756" s="49"/>
      <c r="M756" s="146"/>
      <c r="N756" s="146"/>
      <c r="O756" s="239"/>
      <c r="P756" s="25"/>
    </row>
    <row r="757" spans="1:16" ht="31.5" hidden="1">
      <c r="A757" s="607"/>
      <c r="B757" s="607"/>
      <c r="C757" s="135"/>
      <c r="D757" s="13" t="s">
        <v>247</v>
      </c>
      <c r="E757" s="142"/>
      <c r="F757" s="143"/>
      <c r="G757" s="142"/>
      <c r="H757" s="144">
        <f t="shared" si="87"/>
        <v>0</v>
      </c>
      <c r="I757" s="145"/>
      <c r="J757" s="145"/>
      <c r="K757" s="145"/>
      <c r="L757" s="49"/>
      <c r="M757" s="146"/>
      <c r="N757" s="146"/>
      <c r="O757" s="239"/>
      <c r="P757" s="25"/>
    </row>
    <row r="758" spans="1:16" ht="31.5" hidden="1">
      <c r="A758" s="607"/>
      <c r="B758" s="607"/>
      <c r="C758" s="135"/>
      <c r="D758" s="13" t="s">
        <v>1394</v>
      </c>
      <c r="E758" s="142"/>
      <c r="F758" s="143"/>
      <c r="G758" s="142"/>
      <c r="H758" s="144">
        <f t="shared" si="87"/>
        <v>0</v>
      </c>
      <c r="I758" s="145"/>
      <c r="J758" s="145"/>
      <c r="K758" s="145"/>
      <c r="L758" s="49"/>
      <c r="M758" s="146"/>
      <c r="N758" s="146"/>
      <c r="O758" s="239"/>
      <c r="P758" s="25"/>
    </row>
    <row r="759" spans="1:16" ht="15.75" hidden="1">
      <c r="A759" s="607"/>
      <c r="B759" s="607"/>
      <c r="C759" s="135"/>
      <c r="D759" s="14" t="s">
        <v>1395</v>
      </c>
      <c r="E759" s="142"/>
      <c r="F759" s="143"/>
      <c r="G759" s="142"/>
      <c r="H759" s="144">
        <f t="shared" si="87"/>
        <v>0</v>
      </c>
      <c r="I759" s="145"/>
      <c r="J759" s="145"/>
      <c r="K759" s="145"/>
      <c r="L759" s="49"/>
      <c r="M759" s="146"/>
      <c r="N759" s="146"/>
      <c r="O759" s="239"/>
      <c r="P759" s="25"/>
    </row>
    <row r="760" spans="1:16" ht="47.25" hidden="1">
      <c r="A760" s="607"/>
      <c r="B760" s="607"/>
      <c r="C760" s="135"/>
      <c r="D760" s="13" t="s">
        <v>1321</v>
      </c>
      <c r="E760" s="142"/>
      <c r="F760" s="143"/>
      <c r="G760" s="142"/>
      <c r="H760" s="144">
        <f t="shared" si="87"/>
        <v>0</v>
      </c>
      <c r="I760" s="145"/>
      <c r="J760" s="145"/>
      <c r="K760" s="145"/>
      <c r="L760" s="49"/>
      <c r="M760" s="146"/>
      <c r="N760" s="146"/>
      <c r="O760" s="239"/>
      <c r="P760" s="25"/>
    </row>
    <row r="761" spans="1:16" ht="15.75" hidden="1">
      <c r="A761" s="607"/>
      <c r="B761" s="607"/>
      <c r="C761" s="135"/>
      <c r="D761" s="80" t="s">
        <v>1336</v>
      </c>
      <c r="E761" s="142"/>
      <c r="F761" s="143"/>
      <c r="G761" s="142"/>
      <c r="H761" s="144">
        <f t="shared" si="87"/>
        <v>0</v>
      </c>
      <c r="I761" s="145"/>
      <c r="J761" s="145"/>
      <c r="K761" s="145"/>
      <c r="L761" s="49"/>
      <c r="M761" s="146"/>
      <c r="N761" s="146"/>
      <c r="O761" s="239"/>
      <c r="P761" s="25"/>
    </row>
    <row r="762" spans="1:16" ht="15.75" hidden="1">
      <c r="A762" s="607"/>
      <c r="B762" s="607"/>
      <c r="C762" s="135"/>
      <c r="D762" s="79" t="s">
        <v>1337</v>
      </c>
      <c r="E762" s="142"/>
      <c r="F762" s="143"/>
      <c r="G762" s="142"/>
      <c r="H762" s="144">
        <f t="shared" si="87"/>
        <v>0</v>
      </c>
      <c r="I762" s="145"/>
      <c r="J762" s="145"/>
      <c r="K762" s="145"/>
      <c r="L762" s="49"/>
      <c r="M762" s="146"/>
      <c r="N762" s="146"/>
      <c r="O762" s="239"/>
      <c r="P762" s="25"/>
    </row>
    <row r="763" spans="1:16" ht="31.5" hidden="1">
      <c r="A763" s="607"/>
      <c r="B763" s="607"/>
      <c r="C763" s="135"/>
      <c r="D763" s="13" t="s">
        <v>239</v>
      </c>
      <c r="E763" s="142"/>
      <c r="F763" s="143"/>
      <c r="G763" s="142"/>
      <c r="H763" s="144">
        <f t="shared" si="87"/>
        <v>0</v>
      </c>
      <c r="I763" s="145"/>
      <c r="J763" s="145"/>
      <c r="K763" s="145"/>
      <c r="L763" s="49"/>
      <c r="M763" s="146"/>
      <c r="N763" s="146"/>
      <c r="O763" s="239"/>
      <c r="P763" s="25"/>
    </row>
    <row r="764" spans="1:16" ht="31.5" hidden="1">
      <c r="A764" s="607"/>
      <c r="B764" s="607"/>
      <c r="C764" s="135"/>
      <c r="D764" s="13" t="s">
        <v>240</v>
      </c>
      <c r="E764" s="142"/>
      <c r="F764" s="143"/>
      <c r="G764" s="142"/>
      <c r="H764" s="144">
        <f t="shared" si="87"/>
        <v>0</v>
      </c>
      <c r="I764" s="145"/>
      <c r="J764" s="145"/>
      <c r="K764" s="145"/>
      <c r="L764" s="49"/>
      <c r="M764" s="146"/>
      <c r="N764" s="146"/>
      <c r="O764" s="239"/>
      <c r="P764" s="25"/>
    </row>
    <row r="765" spans="1:16" ht="47.25" hidden="1">
      <c r="A765" s="607"/>
      <c r="B765" s="607"/>
      <c r="C765" s="135"/>
      <c r="D765" s="79" t="s">
        <v>241</v>
      </c>
      <c r="E765" s="142"/>
      <c r="F765" s="143"/>
      <c r="G765" s="142"/>
      <c r="H765" s="144">
        <f t="shared" si="87"/>
        <v>0</v>
      </c>
      <c r="I765" s="145"/>
      <c r="J765" s="145"/>
      <c r="K765" s="145"/>
      <c r="L765" s="49"/>
      <c r="M765" s="146"/>
      <c r="N765" s="146"/>
      <c r="O765" s="239"/>
      <c r="P765" s="25"/>
    </row>
    <row r="766" spans="1:16" ht="47.25" hidden="1">
      <c r="A766" s="607"/>
      <c r="B766" s="607"/>
      <c r="C766" s="135"/>
      <c r="D766" s="79" t="s">
        <v>75</v>
      </c>
      <c r="E766" s="142"/>
      <c r="F766" s="143"/>
      <c r="G766" s="142"/>
      <c r="H766" s="144">
        <f t="shared" si="87"/>
        <v>0</v>
      </c>
      <c r="I766" s="145"/>
      <c r="J766" s="145"/>
      <c r="K766" s="145"/>
      <c r="L766" s="49"/>
      <c r="M766" s="146"/>
      <c r="N766" s="146"/>
      <c r="O766" s="239"/>
      <c r="P766" s="25"/>
    </row>
    <row r="767" spans="1:16" ht="31.5" hidden="1">
      <c r="A767" s="607"/>
      <c r="B767" s="607"/>
      <c r="C767" s="135"/>
      <c r="D767" s="81" t="s">
        <v>76</v>
      </c>
      <c r="E767" s="142"/>
      <c r="F767" s="143"/>
      <c r="G767" s="142"/>
      <c r="H767" s="144">
        <f t="shared" si="87"/>
        <v>0</v>
      </c>
      <c r="I767" s="145"/>
      <c r="J767" s="145"/>
      <c r="K767" s="145"/>
      <c r="L767" s="49"/>
      <c r="M767" s="146"/>
      <c r="N767" s="146"/>
      <c r="O767" s="239"/>
      <c r="P767" s="25"/>
    </row>
    <row r="768" spans="1:16" ht="47.25" hidden="1">
      <c r="A768" s="607"/>
      <c r="B768" s="607"/>
      <c r="C768" s="135"/>
      <c r="D768" s="13" t="s">
        <v>246</v>
      </c>
      <c r="E768" s="142"/>
      <c r="F768" s="143"/>
      <c r="G768" s="142"/>
      <c r="H768" s="144">
        <f t="shared" si="87"/>
        <v>0</v>
      </c>
      <c r="I768" s="145"/>
      <c r="J768" s="145"/>
      <c r="K768" s="145"/>
      <c r="L768" s="49"/>
      <c r="M768" s="146"/>
      <c r="N768" s="146"/>
      <c r="O768" s="239"/>
      <c r="P768" s="25"/>
    </row>
    <row r="769" spans="1:16" ht="47.25" hidden="1">
      <c r="A769" s="607"/>
      <c r="B769" s="607"/>
      <c r="C769" s="135"/>
      <c r="D769" s="13" t="s">
        <v>1347</v>
      </c>
      <c r="E769" s="142"/>
      <c r="F769" s="143"/>
      <c r="G769" s="142"/>
      <c r="H769" s="144">
        <f t="shared" si="87"/>
        <v>0</v>
      </c>
      <c r="I769" s="145"/>
      <c r="J769" s="145"/>
      <c r="K769" s="145"/>
      <c r="L769" s="49"/>
      <c r="M769" s="146"/>
      <c r="N769" s="146"/>
      <c r="O769" s="239"/>
      <c r="P769" s="25"/>
    </row>
    <row r="770" spans="1:16" ht="31.5" hidden="1">
      <c r="A770" s="607"/>
      <c r="B770" s="607"/>
      <c r="C770" s="135"/>
      <c r="D770" s="13" t="s">
        <v>1348</v>
      </c>
      <c r="E770" s="142"/>
      <c r="F770" s="143"/>
      <c r="G770" s="142"/>
      <c r="H770" s="144">
        <f t="shared" si="87"/>
        <v>0</v>
      </c>
      <c r="I770" s="145"/>
      <c r="J770" s="145"/>
      <c r="K770" s="145"/>
      <c r="L770" s="49"/>
      <c r="M770" s="146"/>
      <c r="N770" s="146"/>
      <c r="O770" s="239"/>
      <c r="P770" s="25"/>
    </row>
    <row r="771" spans="1:16" ht="31.5" hidden="1">
      <c r="A771" s="607"/>
      <c r="B771" s="607"/>
      <c r="C771" s="135"/>
      <c r="D771" s="13" t="s">
        <v>1482</v>
      </c>
      <c r="E771" s="142"/>
      <c r="F771" s="143"/>
      <c r="G771" s="142"/>
      <c r="H771" s="144">
        <f t="shared" si="87"/>
        <v>0</v>
      </c>
      <c r="I771" s="145"/>
      <c r="J771" s="145"/>
      <c r="K771" s="145"/>
      <c r="L771" s="49"/>
      <c r="M771" s="146"/>
      <c r="N771" s="146"/>
      <c r="O771" s="239"/>
      <c r="P771" s="25"/>
    </row>
    <row r="772" spans="1:16" ht="31.5" hidden="1">
      <c r="A772" s="607"/>
      <c r="B772" s="607"/>
      <c r="C772" s="135"/>
      <c r="D772" s="13" t="s">
        <v>1987</v>
      </c>
      <c r="E772" s="142"/>
      <c r="F772" s="143"/>
      <c r="G772" s="142"/>
      <c r="H772" s="144">
        <f t="shared" si="87"/>
        <v>0</v>
      </c>
      <c r="I772" s="145"/>
      <c r="J772" s="145"/>
      <c r="K772" s="145"/>
      <c r="L772" s="49"/>
      <c r="M772" s="146"/>
      <c r="N772" s="146"/>
      <c r="O772" s="239"/>
      <c r="P772" s="25"/>
    </row>
    <row r="773" spans="1:16" ht="31.5" hidden="1">
      <c r="A773" s="607"/>
      <c r="B773" s="607"/>
      <c r="C773" s="135"/>
      <c r="D773" s="13" t="s">
        <v>1988</v>
      </c>
      <c r="E773" s="142"/>
      <c r="F773" s="143"/>
      <c r="G773" s="142"/>
      <c r="H773" s="144">
        <f t="shared" si="87"/>
        <v>0</v>
      </c>
      <c r="I773" s="145"/>
      <c r="J773" s="145"/>
      <c r="K773" s="145"/>
      <c r="L773" s="49"/>
      <c r="M773" s="146"/>
      <c r="N773" s="146"/>
      <c r="O773" s="239"/>
      <c r="P773" s="25"/>
    </row>
    <row r="774" spans="1:16" ht="15.75" hidden="1">
      <c r="A774" s="607"/>
      <c r="B774" s="607"/>
      <c r="C774" s="135"/>
      <c r="D774" s="13" t="s">
        <v>1989</v>
      </c>
      <c r="E774" s="142"/>
      <c r="F774" s="143"/>
      <c r="G774" s="142"/>
      <c r="H774" s="144">
        <f t="shared" si="87"/>
        <v>0</v>
      </c>
      <c r="I774" s="145"/>
      <c r="J774" s="145"/>
      <c r="K774" s="145"/>
      <c r="L774" s="49"/>
      <c r="M774" s="146"/>
      <c r="N774" s="146"/>
      <c r="O774" s="239"/>
      <c r="P774" s="25"/>
    </row>
    <row r="775" spans="1:16" ht="31.5" hidden="1">
      <c r="A775" s="607"/>
      <c r="B775" s="607"/>
      <c r="C775" s="135"/>
      <c r="D775" s="13" t="s">
        <v>2054</v>
      </c>
      <c r="E775" s="142"/>
      <c r="F775" s="143"/>
      <c r="G775" s="142"/>
      <c r="H775" s="144">
        <f t="shared" si="87"/>
        <v>0</v>
      </c>
      <c r="I775" s="145"/>
      <c r="J775" s="145"/>
      <c r="K775" s="145"/>
      <c r="L775" s="49"/>
      <c r="M775" s="146"/>
      <c r="N775" s="146"/>
      <c r="O775" s="239"/>
      <c r="P775" s="25"/>
    </row>
    <row r="776" spans="1:16" ht="31.5" hidden="1">
      <c r="A776" s="607"/>
      <c r="B776" s="607"/>
      <c r="C776" s="135"/>
      <c r="D776" s="13" t="s">
        <v>1156</v>
      </c>
      <c r="E776" s="142"/>
      <c r="F776" s="143"/>
      <c r="G776" s="142"/>
      <c r="H776" s="144">
        <f t="shared" si="87"/>
        <v>0</v>
      </c>
      <c r="I776" s="145"/>
      <c r="J776" s="145"/>
      <c r="K776" s="145"/>
      <c r="L776" s="49"/>
      <c r="M776" s="146"/>
      <c r="N776" s="146"/>
      <c r="O776" s="239"/>
      <c r="P776" s="25"/>
    </row>
    <row r="777" spans="1:16" ht="31.5" hidden="1">
      <c r="A777" s="607"/>
      <c r="B777" s="607"/>
      <c r="C777" s="135"/>
      <c r="D777" s="13" t="s">
        <v>1120</v>
      </c>
      <c r="E777" s="142"/>
      <c r="F777" s="143"/>
      <c r="G777" s="142"/>
      <c r="H777" s="144">
        <f t="shared" si="87"/>
        <v>0</v>
      </c>
      <c r="I777" s="145"/>
      <c r="J777" s="145"/>
      <c r="K777" s="145"/>
      <c r="L777" s="49"/>
      <c r="M777" s="146"/>
      <c r="N777" s="146"/>
      <c r="O777" s="239"/>
      <c r="P777" s="25"/>
    </row>
    <row r="778" spans="1:16" ht="31.5" hidden="1">
      <c r="A778" s="607"/>
      <c r="B778" s="607"/>
      <c r="C778" s="135"/>
      <c r="D778" s="13" t="s">
        <v>599</v>
      </c>
      <c r="E778" s="142"/>
      <c r="F778" s="143"/>
      <c r="G778" s="142"/>
      <c r="H778" s="144">
        <f t="shared" si="87"/>
        <v>0</v>
      </c>
      <c r="I778" s="145"/>
      <c r="J778" s="145"/>
      <c r="K778" s="145"/>
      <c r="L778" s="49"/>
      <c r="M778" s="146"/>
      <c r="N778" s="146"/>
      <c r="O778" s="239"/>
      <c r="P778" s="25"/>
    </row>
    <row r="779" spans="1:16" ht="31.5" hidden="1">
      <c r="A779" s="607"/>
      <c r="B779" s="607"/>
      <c r="C779" s="135"/>
      <c r="D779" s="13" t="s">
        <v>778</v>
      </c>
      <c r="E779" s="142"/>
      <c r="F779" s="143"/>
      <c r="G779" s="142"/>
      <c r="H779" s="144">
        <f t="shared" si="87"/>
        <v>0</v>
      </c>
      <c r="I779" s="145"/>
      <c r="J779" s="145"/>
      <c r="K779" s="145"/>
      <c r="L779" s="49"/>
      <c r="M779" s="146"/>
      <c r="N779" s="146"/>
      <c r="O779" s="239"/>
      <c r="P779" s="25"/>
    </row>
    <row r="780" spans="1:16" ht="31.5" hidden="1">
      <c r="A780" s="607"/>
      <c r="B780" s="607"/>
      <c r="C780" s="135"/>
      <c r="D780" s="13" t="s">
        <v>526</v>
      </c>
      <c r="E780" s="142"/>
      <c r="F780" s="143"/>
      <c r="G780" s="142"/>
      <c r="H780" s="144">
        <f t="shared" si="87"/>
        <v>0</v>
      </c>
      <c r="I780" s="145"/>
      <c r="J780" s="145"/>
      <c r="K780" s="145"/>
      <c r="L780" s="49"/>
      <c r="M780" s="146"/>
      <c r="N780" s="146"/>
      <c r="O780" s="239"/>
      <c r="P780" s="25"/>
    </row>
    <row r="781" spans="1:16" ht="31.5" hidden="1">
      <c r="A781" s="607"/>
      <c r="B781" s="607"/>
      <c r="C781" s="135"/>
      <c r="D781" s="13" t="s">
        <v>2014</v>
      </c>
      <c r="E781" s="142"/>
      <c r="F781" s="143"/>
      <c r="G781" s="142"/>
      <c r="H781" s="144">
        <f t="shared" si="87"/>
        <v>0</v>
      </c>
      <c r="I781" s="145"/>
      <c r="J781" s="145"/>
      <c r="K781" s="145"/>
      <c r="L781" s="49"/>
      <c r="M781" s="146"/>
      <c r="N781" s="146"/>
      <c r="O781" s="239"/>
      <c r="P781" s="25"/>
    </row>
    <row r="782" spans="1:16" ht="15.75" hidden="1">
      <c r="A782" s="607"/>
      <c r="B782" s="607"/>
      <c r="C782" s="135"/>
      <c r="D782" s="13" t="s">
        <v>999</v>
      </c>
      <c r="E782" s="142"/>
      <c r="F782" s="143"/>
      <c r="G782" s="142"/>
      <c r="H782" s="144">
        <f t="shared" si="87"/>
        <v>0</v>
      </c>
      <c r="I782" s="145"/>
      <c r="J782" s="145"/>
      <c r="K782" s="145"/>
      <c r="L782" s="49"/>
      <c r="M782" s="146"/>
      <c r="N782" s="146"/>
      <c r="O782" s="239"/>
      <c r="P782" s="25"/>
    </row>
    <row r="783" spans="1:16" ht="15.75" hidden="1">
      <c r="A783" s="607"/>
      <c r="B783" s="607"/>
      <c r="C783" s="135"/>
      <c r="D783" s="13" t="s">
        <v>206</v>
      </c>
      <c r="E783" s="142"/>
      <c r="F783" s="143"/>
      <c r="G783" s="142"/>
      <c r="H783" s="144">
        <f t="shared" si="87"/>
        <v>0</v>
      </c>
      <c r="I783" s="145"/>
      <c r="J783" s="145"/>
      <c r="K783" s="145"/>
      <c r="L783" s="49"/>
      <c r="M783" s="146"/>
      <c r="N783" s="146"/>
      <c r="O783" s="239"/>
      <c r="P783" s="25"/>
    </row>
    <row r="784" spans="1:16" ht="31.5" hidden="1">
      <c r="A784" s="607"/>
      <c r="B784" s="607"/>
      <c r="C784" s="135"/>
      <c r="D784" s="13" t="s">
        <v>1186</v>
      </c>
      <c r="E784" s="142"/>
      <c r="F784" s="143"/>
      <c r="G784" s="142"/>
      <c r="H784" s="144">
        <f aca="true" t="shared" si="88" ref="H784:H791">I784+K784+L784+M784+N784+O784</f>
        <v>0</v>
      </c>
      <c r="I784" s="145"/>
      <c r="J784" s="145"/>
      <c r="K784" s="145"/>
      <c r="L784" s="49"/>
      <c r="M784" s="146"/>
      <c r="N784" s="146"/>
      <c r="O784" s="239"/>
      <c r="P784" s="25"/>
    </row>
    <row r="785" spans="1:16" ht="31.5" hidden="1">
      <c r="A785" s="607"/>
      <c r="B785" s="607"/>
      <c r="C785" s="135"/>
      <c r="D785" s="13" t="s">
        <v>1187</v>
      </c>
      <c r="E785" s="142"/>
      <c r="F785" s="143"/>
      <c r="G785" s="142"/>
      <c r="H785" s="144">
        <f t="shared" si="88"/>
        <v>0</v>
      </c>
      <c r="I785" s="145"/>
      <c r="J785" s="145"/>
      <c r="K785" s="145"/>
      <c r="L785" s="49"/>
      <c r="M785" s="146"/>
      <c r="N785" s="146"/>
      <c r="O785" s="239"/>
      <c r="P785" s="25"/>
    </row>
    <row r="786" spans="1:16" ht="31.5" hidden="1">
      <c r="A786" s="607"/>
      <c r="B786" s="607"/>
      <c r="C786" s="135"/>
      <c r="D786" s="13" t="s">
        <v>1188</v>
      </c>
      <c r="E786" s="142"/>
      <c r="F786" s="143"/>
      <c r="G786" s="142"/>
      <c r="H786" s="144">
        <f t="shared" si="88"/>
        <v>0</v>
      </c>
      <c r="I786" s="145"/>
      <c r="J786" s="145"/>
      <c r="K786" s="145"/>
      <c r="L786" s="49"/>
      <c r="M786" s="146"/>
      <c r="N786" s="146"/>
      <c r="O786" s="239"/>
      <c r="P786" s="25"/>
    </row>
    <row r="787" spans="1:16" ht="31.5" hidden="1">
      <c r="A787" s="607"/>
      <c r="B787" s="607"/>
      <c r="C787" s="135"/>
      <c r="D787" s="13" t="s">
        <v>119</v>
      </c>
      <c r="E787" s="142"/>
      <c r="F787" s="143"/>
      <c r="G787" s="142"/>
      <c r="H787" s="144">
        <f t="shared" si="88"/>
        <v>0</v>
      </c>
      <c r="I787" s="145"/>
      <c r="J787" s="145"/>
      <c r="K787" s="145"/>
      <c r="L787" s="49"/>
      <c r="M787" s="146"/>
      <c r="N787" s="146"/>
      <c r="O787" s="239"/>
      <c r="P787" s="25"/>
    </row>
    <row r="788" spans="1:16" ht="31.5" hidden="1">
      <c r="A788" s="607"/>
      <c r="B788" s="607"/>
      <c r="C788" s="135"/>
      <c r="D788" s="13" t="s">
        <v>120</v>
      </c>
      <c r="E788" s="142"/>
      <c r="F788" s="143"/>
      <c r="G788" s="142"/>
      <c r="H788" s="144">
        <f t="shared" si="88"/>
        <v>0</v>
      </c>
      <c r="I788" s="145"/>
      <c r="J788" s="145"/>
      <c r="K788" s="145"/>
      <c r="L788" s="49"/>
      <c r="M788" s="146"/>
      <c r="N788" s="146"/>
      <c r="O788" s="239"/>
      <c r="P788" s="25"/>
    </row>
    <row r="789" spans="1:16" ht="31.5" hidden="1">
      <c r="A789" s="607"/>
      <c r="B789" s="607"/>
      <c r="C789" s="135"/>
      <c r="D789" s="14" t="s">
        <v>121</v>
      </c>
      <c r="E789" s="142"/>
      <c r="F789" s="143"/>
      <c r="G789" s="142"/>
      <c r="H789" s="144">
        <f t="shared" si="88"/>
        <v>0</v>
      </c>
      <c r="I789" s="145"/>
      <c r="J789" s="145"/>
      <c r="K789" s="145"/>
      <c r="L789" s="49"/>
      <c r="M789" s="146"/>
      <c r="N789" s="146"/>
      <c r="O789" s="239"/>
      <c r="P789" s="25"/>
    </row>
    <row r="790" spans="1:16" ht="31.5" hidden="1">
      <c r="A790" s="607"/>
      <c r="B790" s="607"/>
      <c r="C790" s="135"/>
      <c r="D790" s="14" t="s">
        <v>122</v>
      </c>
      <c r="E790" s="142"/>
      <c r="F790" s="143"/>
      <c r="G790" s="142"/>
      <c r="H790" s="144">
        <f t="shared" si="88"/>
        <v>0</v>
      </c>
      <c r="I790" s="145"/>
      <c r="J790" s="145"/>
      <c r="K790" s="145"/>
      <c r="L790" s="49"/>
      <c r="M790" s="146"/>
      <c r="N790" s="146"/>
      <c r="O790" s="239"/>
      <c r="P790" s="25"/>
    </row>
    <row r="791" spans="1:16" ht="31.5" hidden="1">
      <c r="A791" s="607"/>
      <c r="B791" s="607"/>
      <c r="C791" s="135"/>
      <c r="D791" s="13" t="s">
        <v>2077</v>
      </c>
      <c r="E791" s="142"/>
      <c r="F791" s="143"/>
      <c r="G791" s="142"/>
      <c r="H791" s="144">
        <f t="shared" si="88"/>
        <v>0</v>
      </c>
      <c r="I791" s="145"/>
      <c r="J791" s="145"/>
      <c r="K791" s="145"/>
      <c r="L791" s="49"/>
      <c r="M791" s="146"/>
      <c r="N791" s="146"/>
      <c r="O791" s="239"/>
      <c r="P791" s="25"/>
    </row>
    <row r="792" spans="1:16" ht="15.75" hidden="1">
      <c r="A792" s="607"/>
      <c r="B792" s="607"/>
      <c r="C792" s="135"/>
      <c r="D792" s="13"/>
      <c r="E792" s="142"/>
      <c r="F792" s="143"/>
      <c r="G792" s="142"/>
      <c r="H792" s="144"/>
      <c r="I792" s="145"/>
      <c r="J792" s="145"/>
      <c r="K792" s="145"/>
      <c r="L792" s="49"/>
      <c r="M792" s="146"/>
      <c r="N792" s="146"/>
      <c r="O792" s="239"/>
      <c r="P792" s="25"/>
    </row>
    <row r="793" spans="1:16" ht="15.75" hidden="1">
      <c r="A793" s="607"/>
      <c r="B793" s="607"/>
      <c r="C793" s="135"/>
      <c r="D793" s="13"/>
      <c r="E793" s="142"/>
      <c r="F793" s="143"/>
      <c r="G793" s="142"/>
      <c r="H793" s="144"/>
      <c r="I793" s="145"/>
      <c r="J793" s="145"/>
      <c r="K793" s="145"/>
      <c r="L793" s="49"/>
      <c r="M793" s="146"/>
      <c r="N793" s="146"/>
      <c r="O793" s="239"/>
      <c r="P793" s="25"/>
    </row>
    <row r="794" spans="1:16" ht="15.75" hidden="1">
      <c r="A794" s="607"/>
      <c r="B794" s="607"/>
      <c r="C794" s="135"/>
      <c r="D794" s="13"/>
      <c r="E794" s="142"/>
      <c r="F794" s="143"/>
      <c r="G794" s="142"/>
      <c r="H794" s="144"/>
      <c r="I794" s="145"/>
      <c r="J794" s="145"/>
      <c r="K794" s="145"/>
      <c r="L794" s="49"/>
      <c r="M794" s="146"/>
      <c r="N794" s="146"/>
      <c r="O794" s="239"/>
      <c r="P794" s="25"/>
    </row>
    <row r="795" spans="1:16" ht="15.75" hidden="1">
      <c r="A795" s="607"/>
      <c r="B795" s="607"/>
      <c r="C795" s="135"/>
      <c r="D795" s="13"/>
      <c r="E795" s="142"/>
      <c r="F795" s="143"/>
      <c r="G795" s="142"/>
      <c r="H795" s="144"/>
      <c r="I795" s="145"/>
      <c r="J795" s="145"/>
      <c r="K795" s="145"/>
      <c r="L795" s="49"/>
      <c r="M795" s="146"/>
      <c r="N795" s="146"/>
      <c r="O795" s="239"/>
      <c r="P795" s="25"/>
    </row>
    <row r="796" spans="1:16" ht="15.75" hidden="1">
      <c r="A796" s="607"/>
      <c r="B796" s="607"/>
      <c r="C796" s="135"/>
      <c r="D796" s="13"/>
      <c r="E796" s="142"/>
      <c r="F796" s="143"/>
      <c r="G796" s="142"/>
      <c r="H796" s="144"/>
      <c r="I796" s="145"/>
      <c r="J796" s="145"/>
      <c r="K796" s="145"/>
      <c r="L796" s="49"/>
      <c r="M796" s="146"/>
      <c r="N796" s="146"/>
      <c r="O796" s="239"/>
      <c r="P796" s="25"/>
    </row>
    <row r="797" spans="1:16" ht="15.75" hidden="1">
      <c r="A797" s="607"/>
      <c r="B797" s="607"/>
      <c r="C797" s="135"/>
      <c r="D797" s="13"/>
      <c r="E797" s="142"/>
      <c r="F797" s="143"/>
      <c r="G797" s="142"/>
      <c r="H797" s="144"/>
      <c r="I797" s="145"/>
      <c r="J797" s="145"/>
      <c r="K797" s="145"/>
      <c r="L797" s="49"/>
      <c r="M797" s="146"/>
      <c r="N797" s="146"/>
      <c r="O797" s="239"/>
      <c r="P797" s="25"/>
    </row>
    <row r="798" spans="1:16" ht="15.75" hidden="1">
      <c r="A798" s="607"/>
      <c r="B798" s="607"/>
      <c r="C798" s="135"/>
      <c r="D798" s="13"/>
      <c r="E798" s="142"/>
      <c r="F798" s="143"/>
      <c r="G798" s="142"/>
      <c r="H798" s="144"/>
      <c r="I798" s="145"/>
      <c r="J798" s="145"/>
      <c r="K798" s="145"/>
      <c r="L798" s="49"/>
      <c r="M798" s="146"/>
      <c r="N798" s="146"/>
      <c r="O798" s="239"/>
      <c r="P798" s="25"/>
    </row>
    <row r="799" spans="1:16" ht="15.75" hidden="1">
      <c r="A799" s="607"/>
      <c r="B799" s="607"/>
      <c r="C799" s="135"/>
      <c r="D799" s="13"/>
      <c r="E799" s="142"/>
      <c r="F799" s="143"/>
      <c r="G799" s="142"/>
      <c r="H799" s="144"/>
      <c r="I799" s="145"/>
      <c r="J799" s="145"/>
      <c r="K799" s="145"/>
      <c r="L799" s="49"/>
      <c r="M799" s="146"/>
      <c r="N799" s="146"/>
      <c r="O799" s="239"/>
      <c r="P799" s="25"/>
    </row>
    <row r="800" spans="1:16" ht="15.75" hidden="1">
      <c r="A800" s="607"/>
      <c r="B800" s="607"/>
      <c r="C800" s="135"/>
      <c r="D800" s="13"/>
      <c r="E800" s="142"/>
      <c r="F800" s="143"/>
      <c r="G800" s="142"/>
      <c r="H800" s="144"/>
      <c r="I800" s="145"/>
      <c r="J800" s="145"/>
      <c r="K800" s="145"/>
      <c r="L800" s="49"/>
      <c r="M800" s="146"/>
      <c r="N800" s="146"/>
      <c r="O800" s="239"/>
      <c r="P800" s="25"/>
    </row>
    <row r="801" spans="1:16" ht="15.75" hidden="1">
      <c r="A801" s="607"/>
      <c r="B801" s="607"/>
      <c r="C801" s="135"/>
      <c r="D801" s="13"/>
      <c r="E801" s="142"/>
      <c r="F801" s="143"/>
      <c r="G801" s="142"/>
      <c r="H801" s="144"/>
      <c r="I801" s="145"/>
      <c r="J801" s="145"/>
      <c r="K801" s="145"/>
      <c r="L801" s="49"/>
      <c r="M801" s="146"/>
      <c r="N801" s="146"/>
      <c r="O801" s="239"/>
      <c r="P801" s="25"/>
    </row>
    <row r="802" spans="1:16" ht="15.75" hidden="1">
      <c r="A802" s="607"/>
      <c r="B802" s="607"/>
      <c r="C802" s="135"/>
      <c r="D802" s="13"/>
      <c r="E802" s="142"/>
      <c r="F802" s="143"/>
      <c r="G802" s="142"/>
      <c r="H802" s="144"/>
      <c r="I802" s="145"/>
      <c r="J802" s="145"/>
      <c r="K802" s="145"/>
      <c r="L802" s="49"/>
      <c r="M802" s="146"/>
      <c r="N802" s="146"/>
      <c r="O802" s="239"/>
      <c r="P802" s="25"/>
    </row>
    <row r="803" spans="1:16" ht="15.75" hidden="1">
      <c r="A803" s="607"/>
      <c r="B803" s="607"/>
      <c r="C803" s="135"/>
      <c r="D803" s="13"/>
      <c r="E803" s="142"/>
      <c r="F803" s="143"/>
      <c r="G803" s="142"/>
      <c r="H803" s="144"/>
      <c r="I803" s="145"/>
      <c r="J803" s="145"/>
      <c r="K803" s="145"/>
      <c r="L803" s="49"/>
      <c r="M803" s="146"/>
      <c r="N803" s="146"/>
      <c r="O803" s="239"/>
      <c r="P803" s="25"/>
    </row>
    <row r="804" spans="1:16" ht="15.75" hidden="1">
      <c r="A804" s="607"/>
      <c r="B804" s="607"/>
      <c r="C804" s="135"/>
      <c r="D804" s="13"/>
      <c r="E804" s="142"/>
      <c r="F804" s="143"/>
      <c r="G804" s="142"/>
      <c r="H804" s="144"/>
      <c r="I804" s="145"/>
      <c r="J804" s="145"/>
      <c r="K804" s="145"/>
      <c r="L804" s="49"/>
      <c r="M804" s="146"/>
      <c r="N804" s="146"/>
      <c r="O804" s="239"/>
      <c r="P804" s="25"/>
    </row>
    <row r="805" spans="1:16" ht="15.75" hidden="1">
      <c r="A805" s="607"/>
      <c r="B805" s="607"/>
      <c r="C805" s="135"/>
      <c r="D805" s="13"/>
      <c r="E805" s="142"/>
      <c r="F805" s="143"/>
      <c r="G805" s="142"/>
      <c r="H805" s="144"/>
      <c r="I805" s="145"/>
      <c r="J805" s="145"/>
      <c r="K805" s="145"/>
      <c r="L805" s="49"/>
      <c r="M805" s="146"/>
      <c r="N805" s="146"/>
      <c r="O805" s="239"/>
      <c r="P805" s="25"/>
    </row>
    <row r="806" spans="1:16" ht="15.75" hidden="1">
      <c r="A806" s="607"/>
      <c r="B806" s="607"/>
      <c r="C806" s="135"/>
      <c r="D806" s="13"/>
      <c r="E806" s="142"/>
      <c r="F806" s="143"/>
      <c r="G806" s="142"/>
      <c r="H806" s="144"/>
      <c r="I806" s="145"/>
      <c r="J806" s="145"/>
      <c r="K806" s="145"/>
      <c r="L806" s="49"/>
      <c r="M806" s="146"/>
      <c r="N806" s="146"/>
      <c r="O806" s="239"/>
      <c r="P806" s="25"/>
    </row>
    <row r="807" spans="1:16" ht="15.75" hidden="1">
      <c r="A807" s="607"/>
      <c r="B807" s="607"/>
      <c r="C807" s="135"/>
      <c r="D807" s="13"/>
      <c r="E807" s="142"/>
      <c r="F807" s="143"/>
      <c r="G807" s="142"/>
      <c r="H807" s="144"/>
      <c r="I807" s="145"/>
      <c r="J807" s="145"/>
      <c r="K807" s="145"/>
      <c r="L807" s="49"/>
      <c r="M807" s="146"/>
      <c r="N807" s="146"/>
      <c r="O807" s="239"/>
      <c r="P807" s="25"/>
    </row>
    <row r="808" spans="1:16" ht="15.75" hidden="1">
      <c r="A808" s="607"/>
      <c r="B808" s="607"/>
      <c r="C808" s="135"/>
      <c r="D808" s="13"/>
      <c r="E808" s="142"/>
      <c r="F808" s="143"/>
      <c r="G808" s="142"/>
      <c r="H808" s="144"/>
      <c r="I808" s="145"/>
      <c r="J808" s="145"/>
      <c r="K808" s="145"/>
      <c r="L808" s="49"/>
      <c r="M808" s="146"/>
      <c r="N808" s="146"/>
      <c r="O808" s="239"/>
      <c r="P808" s="25"/>
    </row>
    <row r="809" spans="1:16" ht="15.75" hidden="1">
      <c r="A809" s="607"/>
      <c r="B809" s="607"/>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607"/>
      <c r="B810" s="607"/>
      <c r="C810" s="135"/>
      <c r="D810" s="78"/>
      <c r="E810" s="142"/>
      <c r="F810" s="143"/>
      <c r="G810" s="142"/>
      <c r="H810" s="144">
        <f t="shared" si="89"/>
        <v>0</v>
      </c>
      <c r="I810" s="145"/>
      <c r="J810" s="145"/>
      <c r="K810" s="145"/>
      <c r="L810" s="49"/>
      <c r="M810" s="146"/>
      <c r="N810" s="146"/>
      <c r="O810" s="239"/>
      <c r="P810" s="25"/>
    </row>
    <row r="811" spans="1:16" ht="15.75" hidden="1">
      <c r="A811" s="607"/>
      <c r="B811" s="607"/>
      <c r="C811" s="135"/>
      <c r="D811" s="78"/>
      <c r="E811" s="142"/>
      <c r="F811" s="143"/>
      <c r="G811" s="142"/>
      <c r="H811" s="144">
        <f t="shared" si="89"/>
        <v>0</v>
      </c>
      <c r="I811" s="145"/>
      <c r="J811" s="145"/>
      <c r="K811" s="145"/>
      <c r="L811" s="49"/>
      <c r="M811" s="146"/>
      <c r="N811" s="146"/>
      <c r="O811" s="239"/>
      <c r="P811" s="25"/>
    </row>
    <row r="812" spans="1:16" ht="15.75" hidden="1">
      <c r="A812" s="607"/>
      <c r="B812" s="607"/>
      <c r="C812" s="135"/>
      <c r="D812" s="78"/>
      <c r="E812" s="142"/>
      <c r="F812" s="143"/>
      <c r="G812" s="142"/>
      <c r="H812" s="144">
        <f t="shared" si="89"/>
        <v>0</v>
      </c>
      <c r="I812" s="145"/>
      <c r="J812" s="145"/>
      <c r="K812" s="145"/>
      <c r="L812" s="49"/>
      <c r="M812" s="146"/>
      <c r="N812" s="146"/>
      <c r="O812" s="239"/>
      <c r="P812" s="25"/>
    </row>
    <row r="813" spans="1:16" ht="15.75" hidden="1">
      <c r="A813" s="607"/>
      <c r="B813" s="607"/>
      <c r="C813" s="135"/>
      <c r="D813" s="78"/>
      <c r="E813" s="142"/>
      <c r="F813" s="143"/>
      <c r="G813" s="142"/>
      <c r="H813" s="144">
        <f t="shared" si="89"/>
        <v>0</v>
      </c>
      <c r="I813" s="145"/>
      <c r="J813" s="145"/>
      <c r="K813" s="145"/>
      <c r="L813" s="49"/>
      <c r="M813" s="146"/>
      <c r="N813" s="146"/>
      <c r="O813" s="239"/>
      <c r="P813" s="25"/>
    </row>
    <row r="814" spans="1:16" ht="15.75" hidden="1">
      <c r="A814" s="607"/>
      <c r="B814" s="607"/>
      <c r="C814" s="135"/>
      <c r="D814" s="78"/>
      <c r="E814" s="142"/>
      <c r="F814" s="143"/>
      <c r="G814" s="142"/>
      <c r="H814" s="144">
        <f t="shared" si="89"/>
        <v>0</v>
      </c>
      <c r="I814" s="145"/>
      <c r="J814" s="145"/>
      <c r="K814" s="145"/>
      <c r="L814" s="49"/>
      <c r="M814" s="146"/>
      <c r="N814" s="146"/>
      <c r="O814" s="239"/>
      <c r="P814" s="25"/>
    </row>
    <row r="815" spans="1:17" s="30" customFormat="1" ht="15.75" hidden="1">
      <c r="A815" s="607"/>
      <c r="B815" s="607"/>
      <c r="C815" s="266"/>
      <c r="D815" s="225" t="s">
        <v>1604</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607"/>
      <c r="B816" s="607"/>
      <c r="C816" s="266" t="s">
        <v>1605</v>
      </c>
      <c r="D816" s="276" t="s">
        <v>1606</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607"/>
      <c r="B817" s="607"/>
      <c r="C817" s="266" t="s">
        <v>1607</v>
      </c>
      <c r="D817" s="276" t="s">
        <v>336</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607"/>
      <c r="B818" s="607"/>
      <c r="C818" s="266" t="s">
        <v>1608</v>
      </c>
      <c r="D818" s="276" t="s">
        <v>1609</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607"/>
      <c r="B819" s="607"/>
      <c r="C819" s="278"/>
      <c r="D819" s="279" t="s">
        <v>1663</v>
      </c>
      <c r="E819" s="199"/>
      <c r="F819" s="200"/>
      <c r="G819" s="199"/>
      <c r="H819" s="201">
        <f t="shared" si="89"/>
        <v>0</v>
      </c>
      <c r="I819" s="201"/>
      <c r="J819" s="202"/>
      <c r="K819" s="280"/>
      <c r="L819" s="214"/>
      <c r="M819" s="281"/>
      <c r="N819" s="281"/>
      <c r="O819" s="282"/>
      <c r="P819" s="25"/>
      <c r="Q819" s="29"/>
    </row>
    <row r="820" spans="1:17" s="30" customFormat="1" ht="22.5" customHeight="1" hidden="1">
      <c r="A820" s="607"/>
      <c r="B820" s="565"/>
      <c r="C820" s="59"/>
      <c r="D820" s="283" t="s">
        <v>1890</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607"/>
      <c r="B821" s="565"/>
      <c r="C821" s="59"/>
      <c r="D821" s="284" t="s">
        <v>675</v>
      </c>
      <c r="E821" s="142"/>
      <c r="F821" s="143"/>
      <c r="G821" s="142"/>
      <c r="H821" s="144">
        <f t="shared" si="89"/>
        <v>0</v>
      </c>
      <c r="I821" s="163"/>
      <c r="J821" s="145"/>
      <c r="K821" s="163"/>
      <c r="L821" s="163"/>
      <c r="M821" s="182"/>
      <c r="N821" s="182"/>
      <c r="O821" s="183"/>
      <c r="P821" s="25"/>
      <c r="Q821" s="29"/>
    </row>
    <row r="822" spans="1:17" s="30" customFormat="1" ht="21" customHeight="1" hidden="1">
      <c r="A822" s="607"/>
      <c r="B822" s="565"/>
      <c r="C822" s="266" t="s">
        <v>1608</v>
      </c>
      <c r="D822" s="285" t="s">
        <v>676</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607"/>
      <c r="B823" s="565"/>
      <c r="C823" s="287"/>
      <c r="D823" s="279" t="s">
        <v>260</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607"/>
      <c r="B824" s="607"/>
      <c r="D824" s="272" t="s">
        <v>1528</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607"/>
      <c r="B825" s="607"/>
      <c r="D825" s="284" t="s">
        <v>1529</v>
      </c>
      <c r="E825" s="142"/>
      <c r="F825" s="143"/>
      <c r="G825" s="142"/>
      <c r="H825" s="144">
        <f t="shared" si="89"/>
        <v>0</v>
      </c>
      <c r="I825" s="163"/>
      <c r="J825" s="163"/>
      <c r="K825" s="163"/>
      <c r="L825" s="163"/>
      <c r="M825" s="182"/>
      <c r="N825" s="182"/>
      <c r="O825" s="182"/>
      <c r="P825" s="25"/>
      <c r="Q825" s="29"/>
    </row>
    <row r="826" spans="1:17" s="30" customFormat="1" ht="20.25" customHeight="1" hidden="1">
      <c r="A826" s="607"/>
      <c r="B826" s="607"/>
      <c r="C826" s="266" t="s">
        <v>1608</v>
      </c>
      <c r="D826" s="285" t="s">
        <v>676</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568"/>
      <c r="B827" s="566"/>
      <c r="C827" s="82"/>
      <c r="D827" s="279" t="s">
        <v>1615</v>
      </c>
      <c r="E827" s="142"/>
      <c r="F827" s="143"/>
      <c r="G827" s="142"/>
      <c r="H827" s="201">
        <f t="shared" si="89"/>
        <v>0</v>
      </c>
      <c r="I827" s="201"/>
      <c r="J827" s="145"/>
      <c r="K827" s="145"/>
      <c r="L827" s="145"/>
      <c r="M827" s="182"/>
      <c r="N827" s="182"/>
      <c r="O827" s="182"/>
      <c r="P827" s="25"/>
      <c r="Q827" s="29"/>
    </row>
    <row r="828" spans="1:17" s="30" customFormat="1" ht="15.75" hidden="1">
      <c r="A828" s="564">
        <v>210110</v>
      </c>
      <c r="B828" s="586" t="s">
        <v>1530</v>
      </c>
      <c r="C828" s="195"/>
      <c r="D828" s="216" t="s">
        <v>1456</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564"/>
      <c r="B829" s="586"/>
      <c r="C829" s="135"/>
      <c r="D829" s="217" t="s">
        <v>1531</v>
      </c>
      <c r="E829" s="292"/>
      <c r="F829" s="143"/>
      <c r="G829" s="292"/>
      <c r="H829" s="144">
        <f t="shared" si="89"/>
        <v>0</v>
      </c>
      <c r="I829" s="293"/>
      <c r="J829" s="293"/>
      <c r="K829" s="293"/>
      <c r="L829" s="293"/>
      <c r="M829" s="294"/>
      <c r="N829" s="294"/>
      <c r="O829" s="294"/>
      <c r="P829" s="25"/>
      <c r="Q829" s="29"/>
    </row>
    <row r="830" spans="1:17" s="30" customFormat="1" ht="31.5" hidden="1">
      <c r="A830" s="564"/>
      <c r="B830" s="586"/>
      <c r="C830" s="266" t="s">
        <v>1532</v>
      </c>
      <c r="D830" s="269" t="s">
        <v>1818</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84" t="s">
        <v>2045</v>
      </c>
      <c r="C832" s="584"/>
      <c r="D832" s="584"/>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81" t="s">
        <v>1756</v>
      </c>
      <c r="B833" s="605" t="s">
        <v>1458</v>
      </c>
      <c r="C833" s="195"/>
      <c r="D833" s="136" t="s">
        <v>1456</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82"/>
      <c r="B834" s="607"/>
      <c r="C834" s="135" t="s">
        <v>1819</v>
      </c>
      <c r="D834" s="141" t="s">
        <v>1820</v>
      </c>
      <c r="E834" s="142"/>
      <c r="F834" s="143"/>
      <c r="G834" s="142"/>
      <c r="H834" s="144">
        <f t="shared" si="91"/>
        <v>0</v>
      </c>
      <c r="I834" s="145"/>
      <c r="J834" s="145"/>
      <c r="K834" s="145"/>
      <c r="L834" s="145"/>
      <c r="M834" s="146"/>
      <c r="N834" s="146"/>
      <c r="O834" s="239"/>
      <c r="P834" s="25" t="s">
        <v>1821</v>
      </c>
      <c r="Q834" s="22"/>
    </row>
    <row r="835" spans="1:17" s="45" customFormat="1" ht="15.75" hidden="1">
      <c r="A835" s="582"/>
      <c r="B835" s="607"/>
      <c r="C835" s="135" t="s">
        <v>1822</v>
      </c>
      <c r="D835" s="141" t="s">
        <v>1823</v>
      </c>
      <c r="E835" s="142"/>
      <c r="F835" s="143"/>
      <c r="G835" s="142"/>
      <c r="H835" s="144">
        <f t="shared" si="91"/>
        <v>0</v>
      </c>
      <c r="I835" s="145"/>
      <c r="J835" s="145"/>
      <c r="K835" s="145"/>
      <c r="L835" s="145"/>
      <c r="M835" s="146"/>
      <c r="N835" s="146"/>
      <c r="O835" s="239"/>
      <c r="P835" s="25" t="s">
        <v>1821</v>
      </c>
      <c r="Q835" s="22"/>
    </row>
    <row r="836" spans="1:17" s="45" customFormat="1" ht="31.5" hidden="1">
      <c r="A836" s="582"/>
      <c r="B836" s="607"/>
      <c r="C836" s="135" t="s">
        <v>1824</v>
      </c>
      <c r="D836" s="141" t="s">
        <v>1825</v>
      </c>
      <c r="E836" s="142"/>
      <c r="F836" s="143"/>
      <c r="G836" s="142"/>
      <c r="H836" s="144">
        <f t="shared" si="91"/>
        <v>0</v>
      </c>
      <c r="I836" s="145"/>
      <c r="J836" s="145"/>
      <c r="K836" s="145"/>
      <c r="L836" s="145"/>
      <c r="M836" s="146"/>
      <c r="N836" s="146"/>
      <c r="O836" s="239"/>
      <c r="P836" s="25" t="s">
        <v>1821</v>
      </c>
      <c r="Q836" s="22"/>
    </row>
    <row r="837" spans="1:17" s="45" customFormat="1" ht="31.5">
      <c r="A837" s="567"/>
      <c r="B837" s="567"/>
      <c r="C837" s="135" t="s">
        <v>1197</v>
      </c>
      <c r="D837" s="141" t="s">
        <v>969</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566"/>
      <c r="B838" s="566"/>
      <c r="C838" s="135" t="s">
        <v>782</v>
      </c>
      <c r="D838" s="141" t="s">
        <v>783</v>
      </c>
      <c r="E838" s="142"/>
      <c r="F838" s="143"/>
      <c r="G838" s="142"/>
      <c r="H838" s="144">
        <f t="shared" si="91"/>
        <v>0</v>
      </c>
      <c r="I838" s="301">
        <f>73.9-73.9</f>
        <v>0</v>
      </c>
      <c r="J838" s="145"/>
      <c r="K838" s="145"/>
      <c r="L838" s="145"/>
      <c r="M838" s="146"/>
      <c r="N838" s="146"/>
      <c r="O838" s="239"/>
      <c r="P838" s="25"/>
      <c r="Q838" s="22"/>
    </row>
    <row r="839" spans="1:63" s="28" customFormat="1" ht="15.75">
      <c r="A839" s="581" t="s">
        <v>1212</v>
      </c>
      <c r="B839" s="605" t="s">
        <v>104</v>
      </c>
      <c r="C839" s="195"/>
      <c r="D839" s="136" t="s">
        <v>781</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82"/>
      <c r="B840" s="607"/>
      <c r="C840" s="135" t="s">
        <v>1826</v>
      </c>
      <c r="D840" s="141" t="s">
        <v>1827</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85" t="s">
        <v>105</v>
      </c>
      <c r="B841" s="586" t="s">
        <v>234</v>
      </c>
      <c r="C841" s="195"/>
      <c r="D841" s="136" t="s">
        <v>1456</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85"/>
      <c r="B842" s="586"/>
      <c r="C842" s="135" t="s">
        <v>1828</v>
      </c>
      <c r="D842" s="14" t="s">
        <v>293</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85"/>
      <c r="B843" s="586"/>
      <c r="C843" s="135" t="s">
        <v>294</v>
      </c>
      <c r="D843" s="14" t="s">
        <v>295</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85"/>
      <c r="B844" s="586"/>
      <c r="C844" s="135" t="s">
        <v>296</v>
      </c>
      <c r="D844" s="14" t="s">
        <v>695</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85"/>
      <c r="B845" s="586"/>
      <c r="C845" s="135" t="s">
        <v>690</v>
      </c>
      <c r="D845" s="14" t="s">
        <v>1433</v>
      </c>
      <c r="E845" s="142">
        <v>200</v>
      </c>
      <c r="F845" s="143">
        <f>100%-((E845-G845)/E845)</f>
        <v>1</v>
      </c>
      <c r="G845" s="142">
        <v>200</v>
      </c>
      <c r="H845" s="144">
        <f t="shared" si="91"/>
        <v>0</v>
      </c>
      <c r="I845" s="145"/>
      <c r="J845" s="145"/>
      <c r="K845" s="145"/>
      <c r="L845" s="49"/>
      <c r="M845" s="146"/>
      <c r="N845" s="146"/>
      <c r="O845" s="239"/>
      <c r="P845" s="25"/>
      <c r="Q845" s="22"/>
    </row>
    <row r="846" spans="1:16" ht="15.75" hidden="1">
      <c r="A846" s="585"/>
      <c r="B846" s="586"/>
      <c r="C846" s="135" t="s">
        <v>1434</v>
      </c>
      <c r="D846" s="14" t="s">
        <v>1435</v>
      </c>
      <c r="E846" s="142">
        <v>2500</v>
      </c>
      <c r="F846" s="143">
        <f>100%-((E846-G846)/E846)</f>
        <v>1</v>
      </c>
      <c r="G846" s="142">
        <v>2500</v>
      </c>
      <c r="H846" s="144">
        <f t="shared" si="91"/>
        <v>0</v>
      </c>
      <c r="I846" s="145"/>
      <c r="J846" s="145"/>
      <c r="K846" s="145"/>
      <c r="L846" s="49"/>
      <c r="M846" s="146"/>
      <c r="N846" s="146"/>
      <c r="O846" s="239"/>
      <c r="P846" s="25"/>
    </row>
    <row r="847" spans="1:17" s="30" customFormat="1" ht="15.75">
      <c r="A847" s="585" t="s">
        <v>1207</v>
      </c>
      <c r="B847" s="586" t="s">
        <v>1390</v>
      </c>
      <c r="C847" s="195"/>
      <c r="D847" s="136" t="s">
        <v>1456</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85"/>
      <c r="B848" s="586"/>
      <c r="C848" s="135" t="s">
        <v>1436</v>
      </c>
      <c r="D848" s="141" t="s">
        <v>681</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81" t="s">
        <v>304</v>
      </c>
      <c r="B849" s="605" t="s">
        <v>1579</v>
      </c>
      <c r="C849" s="195"/>
      <c r="D849" s="136" t="s">
        <v>1456</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82"/>
      <c r="B850" s="607"/>
      <c r="C850" s="135" t="s">
        <v>629</v>
      </c>
      <c r="D850" s="141" t="s">
        <v>373</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83"/>
      <c r="B851" s="606"/>
      <c r="C851" s="135"/>
      <c r="D851" s="141" t="s">
        <v>556</v>
      </c>
      <c r="E851" s="142"/>
      <c r="F851" s="143"/>
      <c r="G851" s="142"/>
      <c r="H851" s="144">
        <f t="shared" si="91"/>
        <v>0</v>
      </c>
      <c r="I851" s="145"/>
      <c r="J851" s="145"/>
      <c r="K851" s="145"/>
      <c r="L851" s="145"/>
      <c r="M851" s="146"/>
      <c r="N851" s="146"/>
      <c r="O851" s="239"/>
      <c r="P851" s="25"/>
    </row>
    <row r="852" spans="1:17" s="30" customFormat="1" ht="15.75">
      <c r="A852" s="605">
        <v>100203</v>
      </c>
      <c r="B852" s="605" t="s">
        <v>201</v>
      </c>
      <c r="C852" s="195"/>
      <c r="D852" s="136" t="s">
        <v>1456</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607"/>
      <c r="B853" s="607"/>
      <c r="C853" s="135" t="s">
        <v>374</v>
      </c>
      <c r="D853" s="83" t="s">
        <v>792</v>
      </c>
      <c r="E853" s="142"/>
      <c r="F853" s="143"/>
      <c r="G853" s="142"/>
      <c r="H853" s="144">
        <f t="shared" si="91"/>
        <v>0</v>
      </c>
      <c r="I853" s="145"/>
      <c r="J853" s="145"/>
      <c r="K853" s="145"/>
      <c r="L853" s="84"/>
      <c r="M853" s="146"/>
      <c r="N853" s="146"/>
      <c r="O853" s="239"/>
      <c r="P853" s="25"/>
    </row>
    <row r="854" spans="1:16" ht="31.5" hidden="1">
      <c r="A854" s="607"/>
      <c r="B854" s="607"/>
      <c r="C854" s="135" t="s">
        <v>375</v>
      </c>
      <c r="D854" s="83" t="s">
        <v>4</v>
      </c>
      <c r="E854" s="142"/>
      <c r="F854" s="143"/>
      <c r="G854" s="142"/>
      <c r="H854" s="144">
        <f t="shared" si="91"/>
        <v>0</v>
      </c>
      <c r="I854" s="145"/>
      <c r="J854" s="145"/>
      <c r="K854" s="145"/>
      <c r="L854" s="84"/>
      <c r="M854" s="146"/>
      <c r="N854" s="146"/>
      <c r="O854" s="239"/>
      <c r="P854" s="25"/>
    </row>
    <row r="855" spans="1:16" ht="31.5" customHeight="1" hidden="1">
      <c r="A855" s="607"/>
      <c r="B855" s="607"/>
      <c r="C855" s="135" t="s">
        <v>5</v>
      </c>
      <c r="D855" s="83" t="s">
        <v>6</v>
      </c>
      <c r="E855" s="142"/>
      <c r="F855" s="143"/>
      <c r="G855" s="142"/>
      <c r="H855" s="144">
        <f t="shared" si="91"/>
        <v>0</v>
      </c>
      <c r="I855" s="145"/>
      <c r="J855" s="145"/>
      <c r="K855" s="145"/>
      <c r="L855" s="84"/>
      <c r="M855" s="146"/>
      <c r="N855" s="146"/>
      <c r="O855" s="239"/>
      <c r="P855" s="25"/>
    </row>
    <row r="856" spans="1:16" ht="15.75" customHeight="1" hidden="1">
      <c r="A856" s="607"/>
      <c r="B856" s="607"/>
      <c r="C856" s="135" t="s">
        <v>7</v>
      </c>
      <c r="D856" s="141" t="s">
        <v>8</v>
      </c>
      <c r="E856" s="142"/>
      <c r="F856" s="143"/>
      <c r="G856" s="142"/>
      <c r="H856" s="144">
        <f t="shared" si="91"/>
        <v>0</v>
      </c>
      <c r="I856" s="145"/>
      <c r="J856" s="145"/>
      <c r="K856" s="145"/>
      <c r="L856" s="145"/>
      <c r="M856" s="146"/>
      <c r="N856" s="146"/>
      <c r="O856" s="239"/>
      <c r="P856" s="25"/>
    </row>
    <row r="857" spans="1:16" ht="31.5" customHeight="1" hidden="1">
      <c r="A857" s="607"/>
      <c r="B857" s="607"/>
      <c r="C857" s="135" t="s">
        <v>9</v>
      </c>
      <c r="D857" s="14" t="s">
        <v>762</v>
      </c>
      <c r="E857" s="142"/>
      <c r="F857" s="143" t="e">
        <f>100%-((E857-G857)/E857)</f>
        <v>#DIV/0!</v>
      </c>
      <c r="G857" s="142"/>
      <c r="H857" s="144">
        <f t="shared" si="91"/>
        <v>0</v>
      </c>
      <c r="I857" s="145"/>
      <c r="J857" s="145"/>
      <c r="K857" s="145"/>
      <c r="L857" s="85"/>
      <c r="M857" s="146"/>
      <c r="N857" s="146"/>
      <c r="O857" s="239"/>
      <c r="P857" s="25"/>
    </row>
    <row r="858" spans="1:16" ht="31.5" customHeight="1" hidden="1">
      <c r="A858" s="607"/>
      <c r="B858" s="607"/>
      <c r="C858" s="135" t="s">
        <v>763</v>
      </c>
      <c r="D858" s="14" t="s">
        <v>1958</v>
      </c>
      <c r="E858" s="142"/>
      <c r="F858" s="143" t="e">
        <f>100%-((E858-G858)/E858)</f>
        <v>#DIV/0!</v>
      </c>
      <c r="G858" s="142"/>
      <c r="H858" s="144">
        <f t="shared" si="91"/>
        <v>0</v>
      </c>
      <c r="I858" s="145"/>
      <c r="J858" s="145"/>
      <c r="K858" s="145"/>
      <c r="L858" s="85"/>
      <c r="M858" s="146"/>
      <c r="N858" s="146"/>
      <c r="O858" s="239"/>
      <c r="P858" s="25"/>
    </row>
    <row r="859" spans="1:16" ht="31.5" hidden="1">
      <c r="A859" s="567"/>
      <c r="B859" s="567"/>
      <c r="C859" s="135" t="s">
        <v>1959</v>
      </c>
      <c r="D859" s="14" t="s">
        <v>1960</v>
      </c>
      <c r="E859" s="142">
        <v>685</v>
      </c>
      <c r="F859" s="143">
        <v>1</v>
      </c>
      <c r="G859" s="142">
        <v>685</v>
      </c>
      <c r="H859" s="144">
        <f t="shared" si="91"/>
        <v>0</v>
      </c>
      <c r="I859" s="145"/>
      <c r="J859" s="145"/>
      <c r="K859" s="145"/>
      <c r="L859" s="85"/>
      <c r="M859" s="146"/>
      <c r="N859" s="146"/>
      <c r="O859" s="239"/>
      <c r="P859" s="25"/>
    </row>
    <row r="860" spans="1:16" ht="18.75" customHeight="1" hidden="1">
      <c r="A860" s="567"/>
      <c r="B860" s="567"/>
      <c r="C860" s="135"/>
      <c r="D860" s="14" t="s">
        <v>1961</v>
      </c>
      <c r="E860" s="142"/>
      <c r="F860" s="143"/>
      <c r="G860" s="142"/>
      <c r="H860" s="144">
        <f t="shared" si="91"/>
        <v>0</v>
      </c>
      <c r="I860" s="145"/>
      <c r="J860" s="145"/>
      <c r="K860" s="145"/>
      <c r="L860" s="85"/>
      <c r="M860" s="146"/>
      <c r="N860" s="146"/>
      <c r="O860" s="239"/>
      <c r="P860" s="25"/>
    </row>
    <row r="861" spans="1:16" ht="47.25">
      <c r="A861" s="567"/>
      <c r="B861" s="567"/>
      <c r="C861" s="135"/>
      <c r="D861" s="14" t="s">
        <v>111</v>
      </c>
      <c r="E861" s="142">
        <v>990</v>
      </c>
      <c r="F861" s="143">
        <v>1</v>
      </c>
      <c r="G861" s="142">
        <v>900</v>
      </c>
      <c r="H861" s="144">
        <f t="shared" si="91"/>
        <v>14071.6</v>
      </c>
      <c r="I861" s="145"/>
      <c r="J861" s="145"/>
      <c r="K861" s="145"/>
      <c r="L861" s="85">
        <v>14071.6</v>
      </c>
      <c r="M861" s="146"/>
      <c r="N861" s="146"/>
      <c r="O861" s="239"/>
      <c r="P861" s="25"/>
    </row>
    <row r="862" spans="1:16" ht="15.75" customHeight="1" hidden="1">
      <c r="A862" s="567"/>
      <c r="B862" s="567"/>
      <c r="C862" s="135"/>
      <c r="D862" s="14"/>
      <c r="E862" s="142"/>
      <c r="F862" s="143"/>
      <c r="G862" s="142"/>
      <c r="H862" s="144">
        <f t="shared" si="91"/>
        <v>0</v>
      </c>
      <c r="I862" s="145"/>
      <c r="J862" s="145"/>
      <c r="K862" s="145"/>
      <c r="L862" s="85"/>
      <c r="M862" s="146"/>
      <c r="N862" s="146"/>
      <c r="O862" s="239"/>
      <c r="P862" s="25"/>
    </row>
    <row r="863" spans="1:16" ht="15.75" customHeight="1" hidden="1">
      <c r="A863" s="567"/>
      <c r="B863" s="567"/>
      <c r="C863" s="135"/>
      <c r="D863" s="14"/>
      <c r="E863" s="142"/>
      <c r="F863" s="143"/>
      <c r="G863" s="142"/>
      <c r="H863" s="144">
        <f t="shared" si="91"/>
        <v>0</v>
      </c>
      <c r="I863" s="145"/>
      <c r="J863" s="145"/>
      <c r="K863" s="145"/>
      <c r="L863" s="85"/>
      <c r="M863" s="146"/>
      <c r="N863" s="146"/>
      <c r="O863" s="239"/>
      <c r="P863" s="25"/>
    </row>
    <row r="864" spans="1:16" ht="15.75" hidden="1">
      <c r="A864" s="566"/>
      <c r="B864" s="566"/>
      <c r="C864" s="135"/>
      <c r="D864" s="14" t="s">
        <v>1217</v>
      </c>
      <c r="E864" s="142"/>
      <c r="F864" s="143"/>
      <c r="G864" s="142"/>
      <c r="H864" s="144">
        <f t="shared" si="91"/>
        <v>0</v>
      </c>
      <c r="I864" s="145"/>
      <c r="J864" s="145"/>
      <c r="K864" s="145"/>
      <c r="L864" s="85"/>
      <c r="M864" s="146"/>
      <c r="N864" s="146"/>
      <c r="O864" s="239"/>
      <c r="P864" s="25"/>
    </row>
    <row r="865" spans="1:17" s="30" customFormat="1" ht="15.75" hidden="1">
      <c r="A865" s="605">
        <v>110204</v>
      </c>
      <c r="B865" s="605" t="s">
        <v>984</v>
      </c>
      <c r="C865" s="195"/>
      <c r="D865" s="71" t="s">
        <v>1456</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606"/>
      <c r="B866" s="606"/>
      <c r="C866" s="135" t="s">
        <v>1218</v>
      </c>
      <c r="D866" s="14" t="s">
        <v>1400</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605">
        <v>110205</v>
      </c>
      <c r="B867" s="605" t="s">
        <v>985</v>
      </c>
      <c r="C867" s="195"/>
      <c r="D867" s="71" t="s">
        <v>781</v>
      </c>
      <c r="E867" s="158"/>
      <c r="F867" s="159"/>
      <c r="G867" s="158"/>
      <c r="H867" s="139">
        <f t="shared" si="91"/>
        <v>0</v>
      </c>
      <c r="I867" s="160"/>
      <c r="J867" s="160"/>
      <c r="K867" s="160"/>
      <c r="L867" s="140">
        <f>L868</f>
        <v>0</v>
      </c>
      <c r="M867" s="161"/>
      <c r="N867" s="161"/>
      <c r="O867" s="302"/>
      <c r="P867" s="25"/>
      <c r="Q867" s="22"/>
    </row>
    <row r="868" spans="1:17" s="45" customFormat="1" ht="31.5" hidden="1">
      <c r="A868" s="606"/>
      <c r="B868" s="606"/>
      <c r="C868" s="135"/>
      <c r="D868" s="14" t="s">
        <v>1401</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605">
        <v>130110</v>
      </c>
      <c r="B869" s="605" t="s">
        <v>1446</v>
      </c>
      <c r="C869" s="195"/>
      <c r="D869" s="71" t="s">
        <v>1456</v>
      </c>
      <c r="E869" s="158"/>
      <c r="F869" s="159"/>
      <c r="G869" s="158"/>
      <c r="H869" s="139">
        <f>H870+H871</f>
        <v>20966.14</v>
      </c>
      <c r="I869" s="140"/>
      <c r="J869" s="140"/>
      <c r="K869" s="140"/>
      <c r="L869" s="139">
        <f>L870+L871</f>
        <v>20966.14</v>
      </c>
      <c r="M869" s="161"/>
      <c r="N869" s="161"/>
      <c r="O869" s="302"/>
      <c r="P869" s="25"/>
      <c r="Q869" s="22"/>
    </row>
    <row r="870" spans="1:17" s="45" customFormat="1" ht="47.25">
      <c r="A870" s="607"/>
      <c r="B870" s="607"/>
      <c r="C870" s="135"/>
      <c r="D870" s="14" t="s">
        <v>284</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606"/>
      <c r="B871" s="606"/>
      <c r="C871" s="135"/>
      <c r="D871" s="14" t="s">
        <v>307</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603">
        <v>150101</v>
      </c>
      <c r="B872" s="603" t="s">
        <v>1448</v>
      </c>
      <c r="C872" s="195"/>
      <c r="D872" s="216" t="s">
        <v>1456</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608"/>
      <c r="B873" s="608"/>
      <c r="C873" s="306" t="s">
        <v>308</v>
      </c>
      <c r="D873" s="141" t="s">
        <v>27</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608"/>
      <c r="B874" s="608"/>
      <c r="C874" s="306" t="s">
        <v>28</v>
      </c>
      <c r="D874" s="141" t="s">
        <v>1246</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608"/>
      <c r="B875" s="608"/>
      <c r="C875" s="310"/>
      <c r="D875" s="14" t="s">
        <v>1401</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608"/>
      <c r="B876" s="608"/>
      <c r="C876" s="310"/>
      <c r="D876" s="14" t="s">
        <v>1247</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608"/>
      <c r="B877" s="608"/>
      <c r="C877" s="310"/>
      <c r="D877" s="14" t="s">
        <v>1248</v>
      </c>
      <c r="E877" s="292">
        <v>110</v>
      </c>
      <c r="F877" s="143">
        <f t="shared" si="100"/>
        <v>1</v>
      </c>
      <c r="G877" s="292">
        <v>110</v>
      </c>
      <c r="H877" s="307">
        <f t="shared" si="98"/>
        <v>0</v>
      </c>
      <c r="I877" s="308"/>
      <c r="J877" s="308"/>
      <c r="K877" s="308"/>
      <c r="L877" s="308"/>
      <c r="M877" s="309"/>
      <c r="N877" s="309"/>
      <c r="O877" s="147"/>
      <c r="P877" s="25"/>
      <c r="Q877" s="22"/>
    </row>
    <row r="878" spans="1:16" ht="31.5" hidden="1">
      <c r="A878" s="608"/>
      <c r="B878" s="608"/>
      <c r="C878" s="306" t="s">
        <v>471</v>
      </c>
      <c r="D878" s="141" t="s">
        <v>472</v>
      </c>
      <c r="E878" s="292">
        <v>20</v>
      </c>
      <c r="F878" s="143">
        <f t="shared" si="100"/>
        <v>1</v>
      </c>
      <c r="G878" s="292">
        <v>20</v>
      </c>
      <c r="H878" s="307">
        <f t="shared" si="98"/>
        <v>0</v>
      </c>
      <c r="I878" s="308"/>
      <c r="J878" s="308"/>
      <c r="K878" s="308"/>
      <c r="L878" s="308"/>
      <c r="M878" s="309"/>
      <c r="N878" s="309"/>
      <c r="O878" s="147"/>
      <c r="P878" s="25"/>
    </row>
    <row r="879" spans="1:16" ht="31.5" hidden="1">
      <c r="A879" s="608"/>
      <c r="B879" s="608"/>
      <c r="C879" s="306" t="s">
        <v>473</v>
      </c>
      <c r="D879" s="141" t="s">
        <v>474</v>
      </c>
      <c r="E879" s="292">
        <v>300</v>
      </c>
      <c r="F879" s="143">
        <f t="shared" si="100"/>
        <v>1</v>
      </c>
      <c r="G879" s="292">
        <v>300</v>
      </c>
      <c r="H879" s="307">
        <f t="shared" si="98"/>
        <v>0</v>
      </c>
      <c r="I879" s="308"/>
      <c r="J879" s="308"/>
      <c r="K879" s="308"/>
      <c r="L879" s="308"/>
      <c r="M879" s="309"/>
      <c r="N879" s="309"/>
      <c r="O879" s="147"/>
      <c r="P879" s="25"/>
    </row>
    <row r="880" spans="1:16" ht="47.25" hidden="1">
      <c r="A880" s="608"/>
      <c r="B880" s="608"/>
      <c r="C880" s="306"/>
      <c r="D880" s="141" t="s">
        <v>1381</v>
      </c>
      <c r="E880" s="292"/>
      <c r="F880" s="143"/>
      <c r="G880" s="292"/>
      <c r="H880" s="307">
        <f t="shared" si="98"/>
        <v>0</v>
      </c>
      <c r="I880" s="308"/>
      <c r="J880" s="308"/>
      <c r="K880" s="308"/>
      <c r="L880" s="308"/>
      <c r="M880" s="309"/>
      <c r="N880" s="309"/>
      <c r="O880" s="147"/>
      <c r="P880" s="25"/>
    </row>
    <row r="881" spans="1:16" ht="47.25">
      <c r="A881" s="608"/>
      <c r="B881" s="608"/>
      <c r="C881" s="306" t="s">
        <v>1382</v>
      </c>
      <c r="D881" s="217" t="s">
        <v>1349</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608"/>
      <c r="B882" s="608"/>
      <c r="C882" s="266" t="s">
        <v>1350</v>
      </c>
      <c r="D882" s="13" t="s">
        <v>1351</v>
      </c>
      <c r="E882" s="292">
        <v>457.236</v>
      </c>
      <c r="F882" s="143">
        <f t="shared" si="101"/>
        <v>1</v>
      </c>
      <c r="G882" s="292">
        <v>457.236</v>
      </c>
      <c r="H882" s="307">
        <f t="shared" si="98"/>
        <v>0</v>
      </c>
      <c r="I882" s="308"/>
      <c r="J882" s="308"/>
      <c r="K882" s="308"/>
      <c r="L882" s="49"/>
      <c r="M882" s="309"/>
      <c r="N882" s="309"/>
      <c r="O882" s="309"/>
      <c r="P882" s="25"/>
    </row>
    <row r="883" spans="1:16" ht="47.25" hidden="1">
      <c r="A883" s="608"/>
      <c r="B883" s="608"/>
      <c r="C883" s="266" t="s">
        <v>1352</v>
      </c>
      <c r="D883" s="311" t="s">
        <v>1040</v>
      </c>
      <c r="E883" s="292">
        <v>100</v>
      </c>
      <c r="F883" s="143">
        <f t="shared" si="101"/>
        <v>1</v>
      </c>
      <c r="G883" s="292">
        <v>100</v>
      </c>
      <c r="H883" s="307">
        <f t="shared" si="98"/>
        <v>0</v>
      </c>
      <c r="I883" s="308"/>
      <c r="J883" s="308"/>
      <c r="K883" s="308"/>
      <c r="L883" s="312"/>
      <c r="M883" s="309"/>
      <c r="N883" s="309"/>
      <c r="O883" s="309"/>
      <c r="P883" s="25"/>
    </row>
    <row r="884" spans="1:16" ht="31.5" hidden="1">
      <c r="A884" s="608"/>
      <c r="B884" s="608"/>
      <c r="C884" s="266" t="s">
        <v>1041</v>
      </c>
      <c r="D884" s="311" t="s">
        <v>1042</v>
      </c>
      <c r="E884" s="292">
        <v>289.309</v>
      </c>
      <c r="F884" s="143">
        <f t="shared" si="101"/>
        <v>0.706</v>
      </c>
      <c r="G884" s="292">
        <v>204.32</v>
      </c>
      <c r="H884" s="307">
        <f t="shared" si="98"/>
        <v>0</v>
      </c>
      <c r="I884" s="308"/>
      <c r="J884" s="308"/>
      <c r="K884" s="308"/>
      <c r="L884" s="312"/>
      <c r="M884" s="309"/>
      <c r="N884" s="309"/>
      <c r="O884" s="309"/>
      <c r="P884" s="25"/>
    </row>
    <row r="885" spans="1:16" ht="31.5" hidden="1">
      <c r="A885" s="608"/>
      <c r="B885" s="608"/>
      <c r="C885" s="266" t="s">
        <v>596</v>
      </c>
      <c r="D885" s="311" t="s">
        <v>597</v>
      </c>
      <c r="E885" s="292">
        <v>213.18</v>
      </c>
      <c r="F885" s="143">
        <f t="shared" si="101"/>
        <v>0.677</v>
      </c>
      <c r="G885" s="292">
        <v>144.25</v>
      </c>
      <c r="H885" s="307">
        <f t="shared" si="98"/>
        <v>0</v>
      </c>
      <c r="I885" s="308"/>
      <c r="J885" s="308"/>
      <c r="K885" s="308"/>
      <c r="L885" s="312"/>
      <c r="M885" s="309"/>
      <c r="N885" s="309"/>
      <c r="O885" s="309"/>
      <c r="P885" s="25"/>
    </row>
    <row r="886" spans="1:16" ht="31.5" hidden="1">
      <c r="A886" s="608"/>
      <c r="B886" s="608"/>
      <c r="C886" s="266" t="s">
        <v>598</v>
      </c>
      <c r="D886" s="311" t="s">
        <v>285</v>
      </c>
      <c r="E886" s="292">
        <v>254.438</v>
      </c>
      <c r="F886" s="143">
        <f t="shared" si="101"/>
        <v>0.706</v>
      </c>
      <c r="G886" s="292">
        <v>179.68</v>
      </c>
      <c r="H886" s="307">
        <f t="shared" si="98"/>
        <v>0</v>
      </c>
      <c r="I886" s="308"/>
      <c r="J886" s="308"/>
      <c r="K886" s="308"/>
      <c r="L886" s="312"/>
      <c r="M886" s="309"/>
      <c r="N886" s="309"/>
      <c r="O886" s="309"/>
      <c r="P886" s="25"/>
    </row>
    <row r="887" spans="1:16" ht="31.5" hidden="1">
      <c r="A887" s="608"/>
      <c r="B887" s="608"/>
      <c r="C887" s="266" t="s">
        <v>286</v>
      </c>
      <c r="D887" s="311" t="s">
        <v>187</v>
      </c>
      <c r="E887" s="292">
        <v>284.646</v>
      </c>
      <c r="F887" s="143">
        <f t="shared" si="101"/>
        <v>0.706</v>
      </c>
      <c r="G887" s="292">
        <v>201.1</v>
      </c>
      <c r="H887" s="307">
        <f t="shared" si="98"/>
        <v>0</v>
      </c>
      <c r="I887" s="308"/>
      <c r="J887" s="308"/>
      <c r="K887" s="308"/>
      <c r="L887" s="312"/>
      <c r="M887" s="309"/>
      <c r="N887" s="309"/>
      <c r="O887" s="309"/>
      <c r="P887" s="25"/>
    </row>
    <row r="888" spans="1:16" ht="31.5" hidden="1">
      <c r="A888" s="608"/>
      <c r="B888" s="608"/>
      <c r="C888" s="266" t="s">
        <v>188</v>
      </c>
      <c r="D888" s="311" t="s">
        <v>1064</v>
      </c>
      <c r="E888" s="292">
        <v>198.437</v>
      </c>
      <c r="F888" s="143">
        <f t="shared" si="101"/>
        <v>0.706</v>
      </c>
      <c r="G888" s="292">
        <v>140.1</v>
      </c>
      <c r="H888" s="307">
        <f t="shared" si="98"/>
        <v>0</v>
      </c>
      <c r="I888" s="308"/>
      <c r="J888" s="308"/>
      <c r="K888" s="308"/>
      <c r="L888" s="312"/>
      <c r="M888" s="309"/>
      <c r="N888" s="309"/>
      <c r="O888" s="309"/>
      <c r="P888" s="25"/>
    </row>
    <row r="889" spans="1:16" ht="31.5" hidden="1">
      <c r="A889" s="608"/>
      <c r="B889" s="608"/>
      <c r="C889" s="266" t="s">
        <v>1065</v>
      </c>
      <c r="D889" s="311" t="s">
        <v>1066</v>
      </c>
      <c r="E889" s="292">
        <v>200</v>
      </c>
      <c r="F889" s="143">
        <f t="shared" si="101"/>
        <v>1</v>
      </c>
      <c r="G889" s="292">
        <v>200</v>
      </c>
      <c r="H889" s="307">
        <f t="shared" si="98"/>
        <v>0</v>
      </c>
      <c r="I889" s="308"/>
      <c r="J889" s="308"/>
      <c r="K889" s="308"/>
      <c r="L889" s="313"/>
      <c r="M889" s="309"/>
      <c r="N889" s="309"/>
      <c r="O889" s="309"/>
      <c r="P889" s="25"/>
    </row>
    <row r="890" spans="1:16" ht="31.5" hidden="1">
      <c r="A890" s="608"/>
      <c r="B890" s="608"/>
      <c r="C890" s="266" t="s">
        <v>1067</v>
      </c>
      <c r="D890" s="311" t="s">
        <v>1068</v>
      </c>
      <c r="E890" s="292">
        <v>200</v>
      </c>
      <c r="F890" s="143">
        <f t="shared" si="101"/>
        <v>1</v>
      </c>
      <c r="G890" s="292">
        <v>200</v>
      </c>
      <c r="H890" s="307">
        <f t="shared" si="98"/>
        <v>0</v>
      </c>
      <c r="I890" s="308"/>
      <c r="J890" s="308"/>
      <c r="K890" s="308"/>
      <c r="L890" s="313"/>
      <c r="M890" s="309"/>
      <c r="N890" s="309"/>
      <c r="O890" s="309"/>
      <c r="P890" s="25"/>
    </row>
    <row r="891" spans="1:16" ht="31.5" hidden="1">
      <c r="A891" s="608"/>
      <c r="B891" s="608"/>
      <c r="C891" s="266" t="s">
        <v>1069</v>
      </c>
      <c r="D891" s="311" t="s">
        <v>1070</v>
      </c>
      <c r="E891" s="292">
        <v>100</v>
      </c>
      <c r="F891" s="143">
        <f t="shared" si="101"/>
        <v>1</v>
      </c>
      <c r="G891" s="292">
        <v>100</v>
      </c>
      <c r="H891" s="307">
        <f t="shared" si="98"/>
        <v>0</v>
      </c>
      <c r="I891" s="308"/>
      <c r="J891" s="308"/>
      <c r="K891" s="308"/>
      <c r="L891" s="313"/>
      <c r="M891" s="309"/>
      <c r="N891" s="309"/>
      <c r="O891" s="309"/>
      <c r="P891" s="25"/>
    </row>
    <row r="892" spans="1:16" ht="31.5" hidden="1">
      <c r="A892" s="608"/>
      <c r="B892" s="608"/>
      <c r="C892" s="266" t="s">
        <v>1071</v>
      </c>
      <c r="D892" s="311" t="s">
        <v>1072</v>
      </c>
      <c r="E892" s="292">
        <v>260</v>
      </c>
      <c r="F892" s="143">
        <f t="shared" si="101"/>
        <v>1</v>
      </c>
      <c r="G892" s="292">
        <v>260</v>
      </c>
      <c r="H892" s="307">
        <f t="shared" si="98"/>
        <v>0</v>
      </c>
      <c r="I892" s="308"/>
      <c r="J892" s="308"/>
      <c r="K892" s="308"/>
      <c r="L892" s="313"/>
      <c r="M892" s="309"/>
      <c r="N892" s="309"/>
      <c r="O892" s="309"/>
      <c r="P892" s="25"/>
    </row>
    <row r="893" spans="1:16" ht="31.5" hidden="1">
      <c r="A893" s="608"/>
      <c r="B893" s="608"/>
      <c r="C893" s="266" t="s">
        <v>1073</v>
      </c>
      <c r="D893" s="14" t="s">
        <v>1074</v>
      </c>
      <c r="E893" s="292">
        <v>100</v>
      </c>
      <c r="F893" s="143">
        <f t="shared" si="101"/>
        <v>1</v>
      </c>
      <c r="G893" s="292">
        <v>100</v>
      </c>
      <c r="H893" s="307">
        <f t="shared" si="98"/>
        <v>0</v>
      </c>
      <c r="I893" s="308"/>
      <c r="J893" s="308"/>
      <c r="K893" s="308"/>
      <c r="L893" s="85"/>
      <c r="M893" s="309"/>
      <c r="N893" s="309"/>
      <c r="O893" s="309"/>
      <c r="P893" s="25"/>
    </row>
    <row r="894" spans="1:16" ht="31.5" hidden="1">
      <c r="A894" s="608"/>
      <c r="B894" s="608"/>
      <c r="C894" s="266" t="s">
        <v>1661</v>
      </c>
      <c r="D894" s="14" t="s">
        <v>531</v>
      </c>
      <c r="E894" s="292">
        <v>284.37655</v>
      </c>
      <c r="F894" s="143">
        <f t="shared" si="101"/>
        <v>0.7</v>
      </c>
      <c r="G894" s="292">
        <v>199.10343</v>
      </c>
      <c r="H894" s="307">
        <f t="shared" si="98"/>
        <v>0</v>
      </c>
      <c r="I894" s="308"/>
      <c r="J894" s="308"/>
      <c r="K894" s="308"/>
      <c r="L894" s="85"/>
      <c r="M894" s="309"/>
      <c r="N894" s="309"/>
      <c r="O894" s="309"/>
      <c r="P894" s="25"/>
    </row>
    <row r="895" spans="1:16" ht="31.5" hidden="1">
      <c r="A895" s="608"/>
      <c r="B895" s="608"/>
      <c r="C895" s="266" t="s">
        <v>532</v>
      </c>
      <c r="D895" s="14" t="s">
        <v>533</v>
      </c>
      <c r="E895" s="292"/>
      <c r="F895" s="143"/>
      <c r="G895" s="292"/>
      <c r="H895" s="307">
        <f t="shared" si="98"/>
        <v>0</v>
      </c>
      <c r="I895" s="308"/>
      <c r="J895" s="308"/>
      <c r="K895" s="308"/>
      <c r="L895" s="85"/>
      <c r="M895" s="309"/>
      <c r="N895" s="309"/>
      <c r="O895" s="309"/>
      <c r="P895" s="25"/>
    </row>
    <row r="896" spans="1:16" ht="31.5">
      <c r="A896" s="608"/>
      <c r="B896" s="608"/>
      <c r="C896" s="575" t="s">
        <v>534</v>
      </c>
      <c r="D896" s="14" t="s">
        <v>884</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608"/>
      <c r="B897" s="608"/>
      <c r="C897" s="576"/>
      <c r="D897" s="86" t="s">
        <v>885</v>
      </c>
      <c r="E897" s="292">
        <v>13.36</v>
      </c>
      <c r="F897" s="143">
        <f t="shared" si="102"/>
        <v>1</v>
      </c>
      <c r="G897" s="292">
        <v>13.36</v>
      </c>
      <c r="H897" s="314">
        <f t="shared" si="98"/>
        <v>0</v>
      </c>
      <c r="I897" s="315"/>
      <c r="J897" s="315"/>
      <c r="K897" s="315"/>
      <c r="L897" s="87"/>
      <c r="M897" s="316"/>
      <c r="N897" s="316"/>
      <c r="O897" s="316"/>
      <c r="P897" s="25"/>
    </row>
    <row r="898" spans="1:16" ht="15.75" customHeight="1" hidden="1">
      <c r="A898" s="608"/>
      <c r="B898" s="608"/>
      <c r="C898" s="576"/>
      <c r="D898" s="86" t="s">
        <v>836</v>
      </c>
      <c r="E898" s="292">
        <v>12.64</v>
      </c>
      <c r="F898" s="143">
        <f t="shared" si="102"/>
        <v>1</v>
      </c>
      <c r="G898" s="292">
        <v>12.64</v>
      </c>
      <c r="H898" s="314">
        <f t="shared" si="98"/>
        <v>0</v>
      </c>
      <c r="I898" s="315"/>
      <c r="J898" s="315"/>
      <c r="K898" s="315"/>
      <c r="L898" s="87"/>
      <c r="M898" s="316"/>
      <c r="N898" s="316"/>
      <c r="O898" s="316"/>
      <c r="P898" s="25"/>
    </row>
    <row r="899" spans="1:16" ht="47.25" customHeight="1" hidden="1">
      <c r="A899" s="608"/>
      <c r="B899" s="608"/>
      <c r="C899" s="577"/>
      <c r="D899" s="86" t="s">
        <v>837</v>
      </c>
      <c r="E899" s="292">
        <v>25.5</v>
      </c>
      <c r="F899" s="143">
        <f t="shared" si="102"/>
        <v>1</v>
      </c>
      <c r="G899" s="292">
        <v>25.5</v>
      </c>
      <c r="H899" s="314">
        <f t="shared" si="98"/>
        <v>0</v>
      </c>
      <c r="I899" s="315"/>
      <c r="J899" s="315"/>
      <c r="K899" s="315"/>
      <c r="L899" s="87"/>
      <c r="M899" s="316"/>
      <c r="N899" s="316"/>
      <c r="O899" s="316"/>
      <c r="P899" s="25"/>
    </row>
    <row r="900" spans="1:16" ht="31.5" hidden="1">
      <c r="A900" s="608"/>
      <c r="B900" s="608"/>
      <c r="C900" s="266" t="s">
        <v>838</v>
      </c>
      <c r="D900" s="14" t="s">
        <v>1479</v>
      </c>
      <c r="E900" s="292">
        <v>800</v>
      </c>
      <c r="F900" s="143">
        <f t="shared" si="102"/>
        <v>1</v>
      </c>
      <c r="G900" s="292">
        <v>800</v>
      </c>
      <c r="H900" s="307">
        <f t="shared" si="98"/>
        <v>0</v>
      </c>
      <c r="I900" s="308"/>
      <c r="J900" s="308"/>
      <c r="K900" s="308"/>
      <c r="L900" s="49"/>
      <c r="M900" s="309"/>
      <c r="N900" s="309"/>
      <c r="O900" s="309"/>
      <c r="P900" s="25"/>
    </row>
    <row r="901" spans="1:16" ht="15.75" hidden="1">
      <c r="A901" s="608"/>
      <c r="B901" s="608"/>
      <c r="C901" s="266" t="s">
        <v>1480</v>
      </c>
      <c r="D901" s="14" t="s">
        <v>1250</v>
      </c>
      <c r="E901" s="292">
        <v>273.7063</v>
      </c>
      <c r="F901" s="143">
        <f t="shared" si="102"/>
        <v>1</v>
      </c>
      <c r="G901" s="292">
        <v>273.7063</v>
      </c>
      <c r="H901" s="307">
        <f t="shared" si="98"/>
        <v>0</v>
      </c>
      <c r="I901" s="308"/>
      <c r="J901" s="308"/>
      <c r="K901" s="308"/>
      <c r="L901" s="49"/>
      <c r="M901" s="309"/>
      <c r="N901" s="309"/>
      <c r="O901" s="309"/>
      <c r="P901" s="25"/>
    </row>
    <row r="902" spans="1:16" ht="31.5" hidden="1">
      <c r="A902" s="608"/>
      <c r="B902" s="608"/>
      <c r="C902" s="266" t="s">
        <v>1251</v>
      </c>
      <c r="D902" s="14" t="s">
        <v>1252</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608"/>
      <c r="B903" s="608"/>
      <c r="C903" s="266" t="s">
        <v>1738</v>
      </c>
      <c r="D903" s="14" t="s">
        <v>326</v>
      </c>
      <c r="E903" s="292">
        <v>140</v>
      </c>
      <c r="F903" s="143">
        <f t="shared" si="102"/>
        <v>1</v>
      </c>
      <c r="G903" s="292">
        <v>140</v>
      </c>
      <c r="H903" s="307">
        <f t="shared" si="103"/>
        <v>0</v>
      </c>
      <c r="I903" s="308"/>
      <c r="J903" s="308"/>
      <c r="K903" s="308"/>
      <c r="L903" s="49"/>
      <c r="M903" s="309"/>
      <c r="N903" s="309"/>
      <c r="O903" s="309"/>
      <c r="P903" s="25"/>
    </row>
    <row r="904" spans="1:16" ht="31.5" hidden="1">
      <c r="A904" s="608"/>
      <c r="B904" s="608"/>
      <c r="C904" s="266" t="s">
        <v>327</v>
      </c>
      <c r="D904" s="14" t="s">
        <v>328</v>
      </c>
      <c r="E904" s="292">
        <v>130</v>
      </c>
      <c r="F904" s="143">
        <f t="shared" si="102"/>
        <v>1</v>
      </c>
      <c r="G904" s="292">
        <v>130</v>
      </c>
      <c r="H904" s="307">
        <f t="shared" si="103"/>
        <v>0</v>
      </c>
      <c r="I904" s="308"/>
      <c r="J904" s="308"/>
      <c r="K904" s="308"/>
      <c r="L904" s="49"/>
      <c r="M904" s="309"/>
      <c r="N904" s="309"/>
      <c r="O904" s="309"/>
      <c r="P904" s="25"/>
    </row>
    <row r="905" spans="1:16" ht="31.5" hidden="1">
      <c r="A905" s="608"/>
      <c r="B905" s="608"/>
      <c r="C905" s="266" t="s">
        <v>329</v>
      </c>
      <c r="D905" s="14" t="s">
        <v>1075</v>
      </c>
      <c r="E905" s="292">
        <v>200</v>
      </c>
      <c r="F905" s="143">
        <f t="shared" si="102"/>
        <v>1</v>
      </c>
      <c r="G905" s="292">
        <v>200</v>
      </c>
      <c r="H905" s="307">
        <f t="shared" si="103"/>
        <v>0</v>
      </c>
      <c r="I905" s="308"/>
      <c r="J905" s="308"/>
      <c r="K905" s="308"/>
      <c r="L905" s="49"/>
      <c r="M905" s="309"/>
      <c r="N905" s="309"/>
      <c r="O905" s="309"/>
      <c r="P905" s="25"/>
    </row>
    <row r="906" spans="1:16" ht="31.5" customHeight="1" hidden="1">
      <c r="A906" s="608"/>
      <c r="B906" s="608"/>
      <c r="C906" s="266" t="s">
        <v>1076</v>
      </c>
      <c r="D906" s="14" t="s">
        <v>1077</v>
      </c>
      <c r="E906" s="292">
        <v>2000</v>
      </c>
      <c r="F906" s="143">
        <f t="shared" si="102"/>
        <v>1</v>
      </c>
      <c r="G906" s="292">
        <v>2000</v>
      </c>
      <c r="H906" s="307">
        <f t="shared" si="103"/>
        <v>0</v>
      </c>
      <c r="I906" s="308"/>
      <c r="J906" s="308"/>
      <c r="K906" s="308"/>
      <c r="L906" s="49"/>
      <c r="M906" s="309"/>
      <c r="N906" s="309"/>
      <c r="O906" s="309"/>
      <c r="P906" s="25"/>
    </row>
    <row r="907" spans="1:16" ht="31.5">
      <c r="A907" s="608"/>
      <c r="B907" s="608"/>
      <c r="C907" s="266" t="s">
        <v>1078</v>
      </c>
      <c r="D907" s="14" t="s">
        <v>1079</v>
      </c>
      <c r="E907" s="292">
        <v>35</v>
      </c>
      <c r="F907" s="143">
        <f t="shared" si="102"/>
        <v>1</v>
      </c>
      <c r="G907" s="292">
        <v>35</v>
      </c>
      <c r="H907" s="307">
        <f t="shared" si="103"/>
        <v>1320</v>
      </c>
      <c r="I907" s="308"/>
      <c r="J907" s="308"/>
      <c r="K907" s="308"/>
      <c r="L907" s="49">
        <v>1320</v>
      </c>
      <c r="M907" s="309"/>
      <c r="N907" s="309"/>
      <c r="O907" s="309"/>
      <c r="P907" s="25"/>
    </row>
    <row r="908" spans="1:16" ht="31.5" hidden="1">
      <c r="A908" s="608"/>
      <c r="B908" s="608"/>
      <c r="C908" s="266" t="s">
        <v>1080</v>
      </c>
      <c r="D908" s="14" t="s">
        <v>170</v>
      </c>
      <c r="E908" s="292">
        <v>40</v>
      </c>
      <c r="F908" s="143">
        <f t="shared" si="102"/>
        <v>1</v>
      </c>
      <c r="G908" s="292">
        <v>40</v>
      </c>
      <c r="H908" s="307">
        <f t="shared" si="103"/>
        <v>0</v>
      </c>
      <c r="I908" s="308"/>
      <c r="J908" s="308"/>
      <c r="K908" s="308"/>
      <c r="L908" s="49"/>
      <c r="M908" s="309"/>
      <c r="N908" s="309"/>
      <c r="O908" s="309"/>
      <c r="P908" s="25"/>
    </row>
    <row r="909" spans="1:16" ht="31.5" hidden="1">
      <c r="A909" s="608"/>
      <c r="B909" s="608"/>
      <c r="C909" s="266" t="s">
        <v>171</v>
      </c>
      <c r="D909" s="14" t="s">
        <v>172</v>
      </c>
      <c r="E909" s="292">
        <v>1000</v>
      </c>
      <c r="F909" s="143">
        <f t="shared" si="102"/>
        <v>1</v>
      </c>
      <c r="G909" s="292">
        <v>1000</v>
      </c>
      <c r="H909" s="307">
        <f t="shared" si="103"/>
        <v>0</v>
      </c>
      <c r="I909" s="308"/>
      <c r="J909" s="308"/>
      <c r="K909" s="308"/>
      <c r="L909" s="49"/>
      <c r="M909" s="309"/>
      <c r="N909" s="309"/>
      <c r="O909" s="309"/>
      <c r="P909" s="25"/>
    </row>
    <row r="910" spans="1:16" ht="31.5">
      <c r="A910" s="608"/>
      <c r="B910" s="608"/>
      <c r="C910" s="266" t="s">
        <v>173</v>
      </c>
      <c r="D910" s="88" t="s">
        <v>174</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608"/>
      <c r="B911" s="608"/>
      <c r="C911" s="266"/>
      <c r="D911" s="88" t="s">
        <v>175</v>
      </c>
      <c r="E911" s="292"/>
      <c r="F911" s="143"/>
      <c r="G911" s="292"/>
      <c r="H911" s="307">
        <f t="shared" si="103"/>
        <v>0</v>
      </c>
      <c r="I911" s="308"/>
      <c r="J911" s="308"/>
      <c r="K911" s="308"/>
      <c r="L911" s="89"/>
      <c r="M911" s="309"/>
      <c r="N911" s="309"/>
      <c r="O911" s="309"/>
      <c r="P911" s="25"/>
    </row>
    <row r="912" spans="1:16" ht="47.25" hidden="1">
      <c r="A912" s="608"/>
      <c r="B912" s="608"/>
      <c r="C912" s="266"/>
      <c r="D912" s="88" t="s">
        <v>215</v>
      </c>
      <c r="E912" s="292"/>
      <c r="F912" s="143"/>
      <c r="G912" s="292"/>
      <c r="H912" s="307">
        <f t="shared" si="103"/>
        <v>0</v>
      </c>
      <c r="I912" s="308"/>
      <c r="J912" s="308"/>
      <c r="K912" s="308"/>
      <c r="L912" s="89"/>
      <c r="M912" s="309"/>
      <c r="N912" s="309"/>
      <c r="O912" s="309"/>
      <c r="P912" s="25"/>
    </row>
    <row r="913" spans="1:16" ht="31.5" hidden="1">
      <c r="A913" s="608"/>
      <c r="B913" s="608"/>
      <c r="C913" s="266"/>
      <c r="D913" s="88" t="s">
        <v>1074</v>
      </c>
      <c r="E913" s="292"/>
      <c r="F913" s="143"/>
      <c r="G913" s="292"/>
      <c r="H913" s="307">
        <f t="shared" si="103"/>
        <v>0</v>
      </c>
      <c r="I913" s="308"/>
      <c r="J913" s="308"/>
      <c r="K913" s="308"/>
      <c r="L913" s="89"/>
      <c r="M913" s="309"/>
      <c r="N913" s="309"/>
      <c r="O913" s="309"/>
      <c r="P913" s="25"/>
    </row>
    <row r="914" spans="1:16" ht="31.5" hidden="1">
      <c r="A914" s="608"/>
      <c r="B914" s="608"/>
      <c r="C914" s="266"/>
      <c r="D914" s="88" t="s">
        <v>92</v>
      </c>
      <c r="E914" s="292"/>
      <c r="F914" s="143"/>
      <c r="G914" s="292"/>
      <c r="H914" s="307">
        <f t="shared" si="103"/>
        <v>0</v>
      </c>
      <c r="I914" s="308"/>
      <c r="J914" s="308"/>
      <c r="K914" s="308"/>
      <c r="L914" s="89"/>
      <c r="M914" s="309"/>
      <c r="N914" s="309"/>
      <c r="O914" s="309"/>
      <c r="P914" s="25"/>
    </row>
    <row r="915" spans="1:16" ht="31.5" hidden="1">
      <c r="A915" s="608"/>
      <c r="B915" s="608"/>
      <c r="C915" s="266" t="s">
        <v>93</v>
      </c>
      <c r="D915" s="88" t="s">
        <v>10</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608"/>
      <c r="B916" s="608"/>
      <c r="C916" s="266" t="s">
        <v>11</v>
      </c>
      <c r="D916" s="14" t="s">
        <v>12</v>
      </c>
      <c r="E916" s="292">
        <v>666.05813</v>
      </c>
      <c r="F916" s="143">
        <f t="shared" si="104"/>
        <v>0.98</v>
      </c>
      <c r="G916" s="292">
        <v>652.974</v>
      </c>
      <c r="H916" s="307">
        <f t="shared" si="103"/>
        <v>0</v>
      </c>
      <c r="I916" s="308"/>
      <c r="J916" s="308"/>
      <c r="K916" s="308"/>
      <c r="L916" s="49"/>
      <c r="M916" s="309"/>
      <c r="N916" s="309"/>
      <c r="O916" s="309"/>
      <c r="P916" s="25"/>
    </row>
    <row r="917" spans="1:16" ht="47.25" hidden="1">
      <c r="A917" s="608"/>
      <c r="B917" s="608"/>
      <c r="C917" s="266" t="s">
        <v>13</v>
      </c>
      <c r="D917" s="14" t="s">
        <v>258</v>
      </c>
      <c r="E917" s="292">
        <v>480</v>
      </c>
      <c r="F917" s="143">
        <f t="shared" si="104"/>
        <v>0.569</v>
      </c>
      <c r="G917" s="292">
        <v>273.1</v>
      </c>
      <c r="H917" s="307">
        <f t="shared" si="103"/>
        <v>0</v>
      </c>
      <c r="I917" s="308"/>
      <c r="J917" s="308"/>
      <c r="K917" s="308"/>
      <c r="L917" s="49"/>
      <c r="M917" s="309"/>
      <c r="N917" s="309"/>
      <c r="O917" s="309"/>
      <c r="P917" s="25"/>
    </row>
    <row r="918" spans="1:16" ht="47.25" hidden="1">
      <c r="A918" s="608"/>
      <c r="B918" s="608"/>
      <c r="C918" s="266" t="s">
        <v>314</v>
      </c>
      <c r="D918" s="14" t="s">
        <v>1725</v>
      </c>
      <c r="E918" s="292">
        <v>46.3</v>
      </c>
      <c r="F918" s="143">
        <f t="shared" si="104"/>
        <v>1</v>
      </c>
      <c r="G918" s="292">
        <v>46.3</v>
      </c>
      <c r="H918" s="307">
        <f t="shared" si="103"/>
        <v>0</v>
      </c>
      <c r="I918" s="308"/>
      <c r="J918" s="308"/>
      <c r="K918" s="308"/>
      <c r="L918" s="49"/>
      <c r="M918" s="309"/>
      <c r="N918" s="309"/>
      <c r="O918" s="309"/>
      <c r="P918" s="25"/>
    </row>
    <row r="919" spans="1:16" ht="47.25" hidden="1">
      <c r="A919" s="608"/>
      <c r="B919" s="608"/>
      <c r="C919" s="266" t="s">
        <v>1726</v>
      </c>
      <c r="D919" s="14" t="s">
        <v>2073</v>
      </c>
      <c r="E919" s="292">
        <v>530</v>
      </c>
      <c r="F919" s="143">
        <f t="shared" si="104"/>
        <v>1</v>
      </c>
      <c r="G919" s="292">
        <v>530</v>
      </c>
      <c r="H919" s="307">
        <f t="shared" si="103"/>
        <v>0</v>
      </c>
      <c r="I919" s="308"/>
      <c r="J919" s="308"/>
      <c r="K919" s="308"/>
      <c r="L919" s="90"/>
      <c r="M919" s="309"/>
      <c r="N919" s="309"/>
      <c r="O919" s="309"/>
      <c r="P919" s="25"/>
    </row>
    <row r="920" spans="1:16" ht="31.5" hidden="1">
      <c r="A920" s="608"/>
      <c r="B920" s="608"/>
      <c r="C920" s="266" t="s">
        <v>2074</v>
      </c>
      <c r="D920" s="14" t="s">
        <v>1601</v>
      </c>
      <c r="E920" s="292">
        <v>5327.07333</v>
      </c>
      <c r="F920" s="143">
        <f t="shared" si="104"/>
        <v>0.215</v>
      </c>
      <c r="G920" s="292">
        <v>1147.01599</v>
      </c>
      <c r="H920" s="307">
        <f t="shared" si="103"/>
        <v>0</v>
      </c>
      <c r="I920" s="308"/>
      <c r="J920" s="308"/>
      <c r="K920" s="308"/>
      <c r="L920" s="91"/>
      <c r="M920" s="309"/>
      <c r="N920" s="309"/>
      <c r="O920" s="309"/>
      <c r="P920" s="25"/>
    </row>
    <row r="921" spans="1:16" ht="31.5" hidden="1">
      <c r="A921" s="608"/>
      <c r="B921" s="608"/>
      <c r="C921" s="266" t="s">
        <v>1602</v>
      </c>
      <c r="D921" s="14" t="s">
        <v>73</v>
      </c>
      <c r="E921" s="292">
        <v>5501.8129</v>
      </c>
      <c r="F921" s="143">
        <f t="shared" si="104"/>
        <v>0.603</v>
      </c>
      <c r="G921" s="292">
        <v>3316.7</v>
      </c>
      <c r="H921" s="307">
        <f t="shared" si="103"/>
        <v>0</v>
      </c>
      <c r="I921" s="308"/>
      <c r="J921" s="308"/>
      <c r="K921" s="308"/>
      <c r="L921" s="91"/>
      <c r="M921" s="309"/>
      <c r="N921" s="309"/>
      <c r="O921" s="309"/>
      <c r="P921" s="25"/>
    </row>
    <row r="922" spans="1:16" ht="31.5" hidden="1">
      <c r="A922" s="608"/>
      <c r="B922" s="608"/>
      <c r="C922" s="266" t="s">
        <v>74</v>
      </c>
      <c r="D922" s="14" t="s">
        <v>1829</v>
      </c>
      <c r="E922" s="292">
        <v>22881.33663</v>
      </c>
      <c r="F922" s="143">
        <f t="shared" si="104"/>
        <v>0.36</v>
      </c>
      <c r="G922" s="292">
        <v>8232.74167</v>
      </c>
      <c r="H922" s="307">
        <f t="shared" si="103"/>
        <v>0</v>
      </c>
      <c r="I922" s="308"/>
      <c r="J922" s="308"/>
      <c r="K922" s="308"/>
      <c r="L922" s="91"/>
      <c r="M922" s="309"/>
      <c r="N922" s="309"/>
      <c r="O922" s="309"/>
      <c r="P922" s="25"/>
    </row>
    <row r="923" spans="1:16" ht="15.75" hidden="1">
      <c r="A923" s="608"/>
      <c r="B923" s="608"/>
      <c r="C923" s="266"/>
      <c r="D923" s="14"/>
      <c r="E923" s="292"/>
      <c r="F923" s="143"/>
      <c r="G923" s="292"/>
      <c r="H923" s="307"/>
      <c r="I923" s="308"/>
      <c r="J923" s="308"/>
      <c r="K923" s="308"/>
      <c r="L923" s="91"/>
      <c r="M923" s="309"/>
      <c r="N923" s="309"/>
      <c r="O923" s="309"/>
      <c r="P923" s="25"/>
    </row>
    <row r="924" spans="1:16" ht="47.25">
      <c r="A924" s="608"/>
      <c r="B924" s="608"/>
      <c r="C924" s="266" t="s">
        <v>1830</v>
      </c>
      <c r="D924" s="14" t="s">
        <v>1831</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608"/>
      <c r="B925" s="608"/>
      <c r="C925" s="266" t="s">
        <v>1832</v>
      </c>
      <c r="D925" s="14" t="s">
        <v>63</v>
      </c>
      <c r="E925" s="292">
        <v>10576.67791</v>
      </c>
      <c r="F925" s="143">
        <f t="shared" si="105"/>
        <v>0.484</v>
      </c>
      <c r="G925" s="292">
        <v>5119.57061</v>
      </c>
      <c r="H925" s="307">
        <f t="shared" si="106"/>
        <v>0</v>
      </c>
      <c r="I925" s="308"/>
      <c r="J925" s="308"/>
      <c r="K925" s="317"/>
      <c r="L925" s="92"/>
      <c r="M925" s="309"/>
      <c r="N925" s="309"/>
      <c r="O925" s="309"/>
      <c r="P925" s="25"/>
    </row>
    <row r="926" spans="1:16" ht="31.5" hidden="1">
      <c r="A926" s="608"/>
      <c r="B926" s="608"/>
      <c r="C926" s="266" t="s">
        <v>64</v>
      </c>
      <c r="D926" s="14" t="s">
        <v>1733</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608"/>
      <c r="B927" s="608"/>
      <c r="C927" s="266" t="s">
        <v>1734</v>
      </c>
      <c r="D927" s="14" t="s">
        <v>1735</v>
      </c>
      <c r="E927" s="292">
        <v>1800</v>
      </c>
      <c r="F927" s="143">
        <f t="shared" si="105"/>
        <v>1</v>
      </c>
      <c r="G927" s="292">
        <v>1800</v>
      </c>
      <c r="H927" s="307">
        <f t="shared" si="106"/>
        <v>0</v>
      </c>
      <c r="I927" s="308"/>
      <c r="J927" s="308"/>
      <c r="K927" s="308"/>
      <c r="L927" s="49"/>
      <c r="M927" s="309"/>
      <c r="N927" s="309"/>
      <c r="O927" s="309"/>
      <c r="P927" s="25"/>
    </row>
    <row r="928" spans="1:16" ht="63">
      <c r="A928" s="608"/>
      <c r="B928" s="608"/>
      <c r="C928" s="266" t="s">
        <v>1736</v>
      </c>
      <c r="D928" s="14" t="s">
        <v>834</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608"/>
      <c r="B929" s="608"/>
      <c r="C929" s="266" t="s">
        <v>835</v>
      </c>
      <c r="D929" s="14" t="s">
        <v>1239</v>
      </c>
      <c r="E929" s="292">
        <v>50</v>
      </c>
      <c r="F929" s="143">
        <f t="shared" si="105"/>
        <v>1</v>
      </c>
      <c r="G929" s="292">
        <v>50</v>
      </c>
      <c r="H929" s="307">
        <f t="shared" si="106"/>
        <v>0</v>
      </c>
      <c r="I929" s="308"/>
      <c r="J929" s="308"/>
      <c r="K929" s="308"/>
      <c r="L929" s="49"/>
      <c r="M929" s="309"/>
      <c r="N929" s="309"/>
      <c r="O929" s="309"/>
      <c r="P929" s="25"/>
    </row>
    <row r="930" spans="1:16" ht="15.75" hidden="1">
      <c r="A930" s="608"/>
      <c r="B930" s="608"/>
      <c r="C930" s="266" t="s">
        <v>1240</v>
      </c>
      <c r="D930" s="14" t="s">
        <v>1241</v>
      </c>
      <c r="E930" s="292">
        <v>50</v>
      </c>
      <c r="F930" s="143">
        <f t="shared" si="105"/>
        <v>1</v>
      </c>
      <c r="G930" s="292">
        <v>50</v>
      </c>
      <c r="H930" s="307">
        <f t="shared" si="106"/>
        <v>0</v>
      </c>
      <c r="I930" s="308"/>
      <c r="J930" s="308"/>
      <c r="K930" s="308"/>
      <c r="L930" s="49"/>
      <c r="M930" s="309"/>
      <c r="N930" s="309"/>
      <c r="O930" s="309"/>
      <c r="P930" s="25"/>
    </row>
    <row r="931" spans="1:16" ht="15.75" hidden="1">
      <c r="A931" s="608"/>
      <c r="B931" s="608"/>
      <c r="C931" s="266" t="s">
        <v>1242</v>
      </c>
      <c r="D931" s="14" t="s">
        <v>1243</v>
      </c>
      <c r="E931" s="292">
        <v>50</v>
      </c>
      <c r="F931" s="143">
        <f t="shared" si="105"/>
        <v>1</v>
      </c>
      <c r="G931" s="292">
        <v>50</v>
      </c>
      <c r="H931" s="307">
        <f t="shared" si="106"/>
        <v>0</v>
      </c>
      <c r="I931" s="308"/>
      <c r="J931" s="308"/>
      <c r="K931" s="308"/>
      <c r="L931" s="49"/>
      <c r="M931" s="309"/>
      <c r="N931" s="309"/>
      <c r="O931" s="309"/>
      <c r="P931" s="25"/>
    </row>
    <row r="932" spans="1:16" ht="15.75" hidden="1">
      <c r="A932" s="608"/>
      <c r="B932" s="608"/>
      <c r="C932" s="266" t="s">
        <v>1244</v>
      </c>
      <c r="D932" s="14" t="s">
        <v>2021</v>
      </c>
      <c r="E932" s="292">
        <v>50</v>
      </c>
      <c r="F932" s="143">
        <f t="shared" si="105"/>
        <v>1</v>
      </c>
      <c r="G932" s="292">
        <v>50</v>
      </c>
      <c r="H932" s="307">
        <f t="shared" si="106"/>
        <v>0</v>
      </c>
      <c r="I932" s="308"/>
      <c r="J932" s="308"/>
      <c r="K932" s="308"/>
      <c r="L932" s="49"/>
      <c r="M932" s="309"/>
      <c r="N932" s="309"/>
      <c r="O932" s="309"/>
      <c r="P932" s="25"/>
    </row>
    <row r="933" spans="1:16" ht="31.5" hidden="1">
      <c r="A933" s="608"/>
      <c r="B933" s="608"/>
      <c r="C933" s="306" t="s">
        <v>2022</v>
      </c>
      <c r="D933" s="14" t="s">
        <v>2023</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608"/>
      <c r="B934" s="608"/>
      <c r="C934" s="306"/>
      <c r="D934" s="93"/>
      <c r="E934" s="292"/>
      <c r="F934" s="143"/>
      <c r="G934" s="292"/>
      <c r="H934" s="319"/>
      <c r="I934" s="308"/>
      <c r="J934" s="308"/>
      <c r="K934" s="308"/>
      <c r="L934" s="318"/>
      <c r="M934" s="309"/>
      <c r="N934" s="309"/>
      <c r="O934" s="309"/>
      <c r="P934" s="25"/>
    </row>
    <row r="935" spans="1:16" ht="15.75" hidden="1">
      <c r="A935" s="608"/>
      <c r="B935" s="608"/>
      <c r="C935" s="306" t="s">
        <v>2024</v>
      </c>
      <c r="D935" s="14" t="s">
        <v>677</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608"/>
      <c r="B936" s="608"/>
      <c r="C936" s="306"/>
      <c r="D936" s="14" t="s">
        <v>1563</v>
      </c>
      <c r="E936" s="292"/>
      <c r="F936" s="143" t="e">
        <f>100%-((E936-G936)/E936)</f>
        <v>#DIV/0!</v>
      </c>
      <c r="G936" s="292"/>
      <c r="H936" s="307">
        <f t="shared" si="107"/>
        <v>0</v>
      </c>
      <c r="I936" s="308"/>
      <c r="J936" s="308"/>
      <c r="K936" s="308"/>
      <c r="L936" s="318"/>
      <c r="M936" s="309"/>
      <c r="N936" s="309">
        <f>100-100</f>
        <v>0</v>
      </c>
      <c r="O936" s="309"/>
      <c r="P936" s="25"/>
    </row>
    <row r="937" spans="1:16" ht="31.5" hidden="1">
      <c r="A937" s="608"/>
      <c r="B937" s="608"/>
      <c r="C937" s="306" t="s">
        <v>1564</v>
      </c>
      <c r="D937" s="14" t="s">
        <v>1565</v>
      </c>
      <c r="E937" s="292">
        <v>250</v>
      </c>
      <c r="F937" s="143">
        <f>100%-((E937-G937)/E937)</f>
        <v>1</v>
      </c>
      <c r="G937" s="292">
        <v>250</v>
      </c>
      <c r="H937" s="307">
        <f t="shared" si="107"/>
        <v>0</v>
      </c>
      <c r="I937" s="308"/>
      <c r="J937" s="308"/>
      <c r="K937" s="308"/>
      <c r="L937" s="318"/>
      <c r="M937" s="309"/>
      <c r="N937" s="309"/>
      <c r="O937" s="309"/>
      <c r="P937" s="25"/>
    </row>
    <row r="938" spans="1:16" ht="47.25">
      <c r="A938" s="608"/>
      <c r="B938" s="608"/>
      <c r="C938" s="306"/>
      <c r="D938" s="14" t="s">
        <v>1898</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608"/>
      <c r="B939" s="608"/>
      <c r="C939" s="306"/>
      <c r="D939" s="14" t="s">
        <v>207</v>
      </c>
      <c r="E939" s="292"/>
      <c r="F939" s="143"/>
      <c r="G939" s="292"/>
      <c r="H939" s="307">
        <f t="shared" si="107"/>
        <v>0</v>
      </c>
      <c r="I939" s="308"/>
      <c r="J939" s="308"/>
      <c r="K939" s="308"/>
      <c r="L939" s="318"/>
      <c r="M939" s="309"/>
      <c r="N939" s="309"/>
      <c r="O939" s="309"/>
      <c r="P939" s="25"/>
    </row>
    <row r="940" spans="1:16" ht="31.5">
      <c r="A940" s="608"/>
      <c r="B940" s="608"/>
      <c r="C940" s="306"/>
      <c r="D940" s="14" t="s">
        <v>1428</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608"/>
      <c r="B941" s="608"/>
      <c r="C941" s="306"/>
      <c r="D941" s="14" t="s">
        <v>1020</v>
      </c>
      <c r="E941" s="292"/>
      <c r="F941" s="143"/>
      <c r="G941" s="292"/>
      <c r="H941" s="307">
        <f t="shared" si="107"/>
        <v>0</v>
      </c>
      <c r="I941" s="308"/>
      <c r="J941" s="308"/>
      <c r="K941" s="308"/>
      <c r="L941" s="318"/>
      <c r="M941" s="309"/>
      <c r="N941" s="309"/>
      <c r="O941" s="309"/>
      <c r="P941" s="25"/>
    </row>
    <row r="942" spans="1:17" s="40" customFormat="1" ht="47.25" hidden="1">
      <c r="A942" s="574"/>
      <c r="B942" s="574"/>
      <c r="C942" s="306"/>
      <c r="D942" s="14" t="s">
        <v>751</v>
      </c>
      <c r="E942" s="292"/>
      <c r="F942" s="143"/>
      <c r="G942" s="292"/>
      <c r="H942" s="307">
        <f t="shared" si="107"/>
        <v>0</v>
      </c>
      <c r="I942" s="308"/>
      <c r="J942" s="308"/>
      <c r="K942" s="308"/>
      <c r="L942" s="318"/>
      <c r="M942" s="309"/>
      <c r="N942" s="309"/>
      <c r="O942" s="309"/>
      <c r="P942" s="25"/>
      <c r="Q942" s="22"/>
    </row>
    <row r="943" spans="1:63" s="28" customFormat="1" ht="15.75" customHeight="1">
      <c r="A943" s="603">
        <v>150110</v>
      </c>
      <c r="B943" s="605" t="s">
        <v>1741</v>
      </c>
      <c r="C943" s="267"/>
      <c r="D943" s="71" t="s">
        <v>1456</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608"/>
      <c r="B944" s="607"/>
      <c r="C944" s="266" t="s">
        <v>752</v>
      </c>
      <c r="D944" s="14" t="s">
        <v>610</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608"/>
      <c r="B945" s="607"/>
      <c r="C945" s="266" t="s">
        <v>611</v>
      </c>
      <c r="D945" s="14" t="s">
        <v>612</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604"/>
      <c r="B946" s="606"/>
      <c r="C946" s="266" t="s">
        <v>613</v>
      </c>
      <c r="D946" s="14" t="s">
        <v>1191</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603">
        <v>150118</v>
      </c>
      <c r="B947" s="605" t="s">
        <v>149</v>
      </c>
      <c r="C947" s="270"/>
      <c r="D947" s="71" t="s">
        <v>1456</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604"/>
      <c r="B948" s="606"/>
      <c r="C948" s="266"/>
      <c r="D948" s="14" t="s">
        <v>287</v>
      </c>
      <c r="E948" s="292"/>
      <c r="F948" s="143"/>
      <c r="G948" s="292"/>
      <c r="H948" s="307">
        <f t="shared" si="108"/>
        <v>1030000</v>
      </c>
      <c r="I948" s="308">
        <v>1000000</v>
      </c>
      <c r="J948" s="308"/>
      <c r="K948" s="308">
        <v>30000</v>
      </c>
      <c r="L948" s="49"/>
      <c r="M948" s="309"/>
      <c r="N948" s="309"/>
      <c r="O948" s="309"/>
      <c r="P948" s="25"/>
      <c r="Q948" s="22"/>
    </row>
    <row r="949" spans="1:17" s="30" customFormat="1" ht="15.75">
      <c r="A949" s="603">
        <v>180409</v>
      </c>
      <c r="B949" s="605" t="s">
        <v>2043</v>
      </c>
      <c r="C949" s="321"/>
      <c r="D949" s="71" t="s">
        <v>1456</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604"/>
      <c r="B950" s="606"/>
      <c r="C950" s="266"/>
      <c r="D950" s="14" t="s">
        <v>2044</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603">
        <v>170703</v>
      </c>
      <c r="B951" s="605" t="s">
        <v>1946</v>
      </c>
      <c r="C951" s="323"/>
      <c r="D951" s="216" t="s">
        <v>1456</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608"/>
      <c r="B952" s="607"/>
      <c r="C952" s="306" t="s">
        <v>1192</v>
      </c>
      <c r="D952" s="324" t="s">
        <v>1936</v>
      </c>
      <c r="E952" s="292"/>
      <c r="F952" s="143"/>
      <c r="G952" s="292"/>
      <c r="H952" s="307">
        <f t="shared" si="112"/>
        <v>0</v>
      </c>
      <c r="I952" s="308"/>
      <c r="J952" s="308"/>
      <c r="K952" s="308"/>
      <c r="L952" s="318"/>
      <c r="M952" s="309"/>
      <c r="N952" s="309"/>
      <c r="O952" s="309"/>
      <c r="P952" s="25"/>
      <c r="Q952" s="22"/>
    </row>
    <row r="953" spans="1:17" s="45" customFormat="1" ht="31.5" customHeight="1" hidden="1">
      <c r="A953" s="608"/>
      <c r="B953" s="607"/>
      <c r="C953" s="306" t="s">
        <v>1937</v>
      </c>
      <c r="D953" s="324" t="s">
        <v>1275</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608"/>
      <c r="B954" s="607"/>
      <c r="C954" s="306"/>
      <c r="D954" s="324" t="s">
        <v>1276</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608"/>
      <c r="B955" s="607"/>
      <c r="C955" s="306"/>
      <c r="D955" s="324" t="s">
        <v>376</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608"/>
      <c r="B956" s="607"/>
      <c r="C956" s="306"/>
      <c r="D956" s="14" t="s">
        <v>377</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608"/>
      <c r="B957" s="607"/>
      <c r="C957" s="306"/>
      <c r="D957" s="14" t="s">
        <v>378</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608"/>
      <c r="B958" s="607"/>
      <c r="C958" s="306" t="s">
        <v>379</v>
      </c>
      <c r="D958" s="14" t="s">
        <v>564</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608"/>
      <c r="B959" s="607"/>
      <c r="C959" s="306" t="s">
        <v>565</v>
      </c>
      <c r="D959" s="14" t="s">
        <v>706</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608"/>
      <c r="B960" s="607"/>
      <c r="C960" s="306" t="s">
        <v>707</v>
      </c>
      <c r="D960" s="14" t="s">
        <v>708</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608"/>
      <c r="B961" s="607"/>
      <c r="C961" s="306" t="s">
        <v>709</v>
      </c>
      <c r="D961" s="14" t="s">
        <v>710</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608"/>
      <c r="B962" s="607"/>
      <c r="C962" s="325" t="s">
        <v>711</v>
      </c>
      <c r="D962" s="83" t="s">
        <v>712</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608"/>
      <c r="B963" s="607"/>
      <c r="C963" s="325"/>
      <c r="D963" s="83" t="s">
        <v>573</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608"/>
      <c r="B964" s="607"/>
      <c r="C964" s="325"/>
      <c r="D964" s="83" t="s">
        <v>1930</v>
      </c>
      <c r="E964" s="292">
        <v>450</v>
      </c>
      <c r="F964" s="143">
        <f t="shared" si="114"/>
        <v>1</v>
      </c>
      <c r="G964" s="292">
        <v>450</v>
      </c>
      <c r="H964" s="307">
        <f t="shared" si="112"/>
        <v>0</v>
      </c>
      <c r="I964" s="308"/>
      <c r="J964" s="308"/>
      <c r="K964" s="308"/>
      <c r="L964" s="318"/>
      <c r="M964" s="309"/>
      <c r="N964" s="309"/>
      <c r="O964" s="309"/>
      <c r="P964" s="25"/>
    </row>
    <row r="965" spans="1:16" ht="31.5" customHeight="1" hidden="1">
      <c r="A965" s="608"/>
      <c r="B965" s="607"/>
      <c r="C965" s="325"/>
      <c r="D965" s="83" t="s">
        <v>678</v>
      </c>
      <c r="E965" s="292">
        <v>500</v>
      </c>
      <c r="F965" s="143">
        <f t="shared" si="114"/>
        <v>1</v>
      </c>
      <c r="G965" s="292">
        <v>500</v>
      </c>
      <c r="H965" s="307">
        <f t="shared" si="112"/>
        <v>0</v>
      </c>
      <c r="I965" s="308"/>
      <c r="J965" s="308"/>
      <c r="K965" s="308"/>
      <c r="L965" s="318"/>
      <c r="M965" s="309"/>
      <c r="N965" s="309"/>
      <c r="O965" s="309"/>
      <c r="P965" s="25"/>
    </row>
    <row r="966" spans="1:16" ht="31.5" customHeight="1" hidden="1">
      <c r="A966" s="608"/>
      <c r="B966" s="607"/>
      <c r="C966" s="325"/>
      <c r="D966" s="83" t="s">
        <v>694</v>
      </c>
      <c r="E966" s="292">
        <v>200</v>
      </c>
      <c r="F966" s="143">
        <f t="shared" si="114"/>
        <v>1</v>
      </c>
      <c r="G966" s="292">
        <v>200</v>
      </c>
      <c r="H966" s="307">
        <f t="shared" si="112"/>
        <v>0</v>
      </c>
      <c r="I966" s="308"/>
      <c r="J966" s="308"/>
      <c r="K966" s="308"/>
      <c r="L966" s="318"/>
      <c r="M966" s="309"/>
      <c r="N966" s="309"/>
      <c r="O966" s="309"/>
      <c r="P966" s="25"/>
    </row>
    <row r="967" spans="1:16" ht="31.5" customHeight="1" hidden="1">
      <c r="A967" s="608"/>
      <c r="B967" s="607"/>
      <c r="C967" s="325"/>
      <c r="D967" s="83" t="s">
        <v>1466</v>
      </c>
      <c r="E967" s="292">
        <v>200</v>
      </c>
      <c r="F967" s="143">
        <f t="shared" si="114"/>
        <v>1</v>
      </c>
      <c r="G967" s="292">
        <v>200</v>
      </c>
      <c r="H967" s="307">
        <f t="shared" si="112"/>
        <v>0</v>
      </c>
      <c r="I967" s="308"/>
      <c r="J967" s="308"/>
      <c r="K967" s="308"/>
      <c r="L967" s="318"/>
      <c r="M967" s="309"/>
      <c r="N967" s="309"/>
      <c r="O967" s="309"/>
      <c r="P967" s="25"/>
    </row>
    <row r="968" spans="1:16" ht="47.25" customHeight="1" hidden="1">
      <c r="A968" s="608"/>
      <c r="B968" s="607"/>
      <c r="C968" s="325"/>
      <c r="D968" s="83" t="s">
        <v>933</v>
      </c>
      <c r="E968" s="292">
        <v>200</v>
      </c>
      <c r="F968" s="143">
        <f t="shared" si="114"/>
        <v>1</v>
      </c>
      <c r="G968" s="292">
        <v>200</v>
      </c>
      <c r="H968" s="307">
        <f t="shared" si="112"/>
        <v>0</v>
      </c>
      <c r="I968" s="308"/>
      <c r="J968" s="308"/>
      <c r="K968" s="308"/>
      <c r="L968" s="318"/>
      <c r="M968" s="309"/>
      <c r="N968" s="309"/>
      <c r="O968" s="309"/>
      <c r="P968" s="25"/>
    </row>
    <row r="969" spans="1:16" ht="31.5" customHeight="1" hidden="1">
      <c r="A969" s="608"/>
      <c r="B969" s="607"/>
      <c r="C969" s="325"/>
      <c r="D969" s="83" t="s">
        <v>1687</v>
      </c>
      <c r="E969" s="292">
        <v>150</v>
      </c>
      <c r="F969" s="143">
        <f t="shared" si="114"/>
        <v>1</v>
      </c>
      <c r="G969" s="292">
        <v>150</v>
      </c>
      <c r="H969" s="307">
        <f t="shared" si="112"/>
        <v>0</v>
      </c>
      <c r="I969" s="308"/>
      <c r="J969" s="308"/>
      <c r="K969" s="308"/>
      <c r="L969" s="318"/>
      <c r="M969" s="309"/>
      <c r="N969" s="309"/>
      <c r="O969" s="309"/>
      <c r="P969" s="25"/>
    </row>
    <row r="970" spans="1:16" ht="47.25">
      <c r="A970" s="608"/>
      <c r="B970" s="607"/>
      <c r="C970" s="325"/>
      <c r="D970" s="83" t="s">
        <v>1688</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608"/>
      <c r="B971" s="607"/>
      <c r="C971" s="325"/>
      <c r="D971" s="83" t="s">
        <v>1757</v>
      </c>
      <c r="E971" s="292"/>
      <c r="F971" s="143"/>
      <c r="G971" s="292"/>
      <c r="H971" s="307">
        <f t="shared" si="112"/>
        <v>0</v>
      </c>
      <c r="I971" s="308"/>
      <c r="J971" s="308"/>
      <c r="K971" s="308"/>
      <c r="L971" s="318"/>
      <c r="M971" s="309"/>
      <c r="N971" s="309"/>
      <c r="O971" s="309"/>
      <c r="P971" s="25"/>
    </row>
    <row r="972" spans="1:16" ht="15.75" hidden="1">
      <c r="A972" s="608"/>
      <c r="B972" s="607"/>
      <c r="C972" s="325"/>
      <c r="D972" s="83" t="s">
        <v>1586</v>
      </c>
      <c r="E972" s="292"/>
      <c r="F972" s="143"/>
      <c r="G972" s="292"/>
      <c r="H972" s="307">
        <f t="shared" si="112"/>
        <v>0</v>
      </c>
      <c r="I972" s="308"/>
      <c r="J972" s="308"/>
      <c r="K972" s="308"/>
      <c r="L972" s="318"/>
      <c r="M972" s="309"/>
      <c r="N972" s="309"/>
      <c r="O972" s="309"/>
      <c r="P972" s="25"/>
    </row>
    <row r="973" spans="1:16" ht="31.5" hidden="1">
      <c r="A973" s="608"/>
      <c r="B973" s="607"/>
      <c r="C973" s="325"/>
      <c r="D973" s="83" t="s">
        <v>1587</v>
      </c>
      <c r="E973" s="292"/>
      <c r="F973" s="143"/>
      <c r="G973" s="292"/>
      <c r="H973" s="307">
        <f t="shared" si="112"/>
        <v>0</v>
      </c>
      <c r="I973" s="308"/>
      <c r="J973" s="308"/>
      <c r="K973" s="308"/>
      <c r="L973" s="318"/>
      <c r="M973" s="309"/>
      <c r="N973" s="309"/>
      <c r="O973" s="309"/>
      <c r="P973" s="25"/>
    </row>
    <row r="974" spans="1:16" ht="31.5" hidden="1">
      <c r="A974" s="608"/>
      <c r="B974" s="607"/>
      <c r="C974" s="325"/>
      <c r="D974" s="83" t="s">
        <v>2023</v>
      </c>
      <c r="E974" s="292"/>
      <c r="F974" s="143"/>
      <c r="G974" s="292"/>
      <c r="H974" s="307">
        <f t="shared" si="112"/>
        <v>0</v>
      </c>
      <c r="I974" s="308"/>
      <c r="J974" s="308"/>
      <c r="K974" s="308"/>
      <c r="L974" s="318"/>
      <c r="M974" s="309"/>
      <c r="N974" s="309"/>
      <c r="O974" s="309"/>
      <c r="P974" s="25"/>
    </row>
    <row r="975" spans="1:16" ht="15.75" hidden="1">
      <c r="A975" s="604"/>
      <c r="B975" s="606"/>
      <c r="C975" s="325"/>
      <c r="D975" s="83" t="s">
        <v>1588</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633</v>
      </c>
      <c r="C977" s="306"/>
      <c r="D977" s="14" t="s">
        <v>1521</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37</v>
      </c>
      <c r="C978" s="306"/>
      <c r="D978" s="14" t="s">
        <v>1571</v>
      </c>
      <c r="E978" s="292"/>
      <c r="F978" s="143"/>
      <c r="G978" s="292"/>
      <c r="H978" s="322">
        <f>I978+J978+K978+L978+M978+N978+O978</f>
        <v>0</v>
      </c>
      <c r="I978" s="308"/>
      <c r="J978" s="308"/>
      <c r="K978" s="308"/>
      <c r="L978" s="318"/>
      <c r="M978" s="309"/>
      <c r="N978" s="309"/>
      <c r="O978" s="309"/>
      <c r="P978" s="25"/>
      <c r="Q978" s="22"/>
    </row>
    <row r="979" spans="1:63" s="54" customFormat="1" ht="15.75">
      <c r="A979" s="603">
        <v>250404</v>
      </c>
      <c r="B979" s="603" t="s">
        <v>1256</v>
      </c>
      <c r="C979" s="195"/>
      <c r="D979" s="216" t="s">
        <v>1456</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608"/>
      <c r="B980" s="608"/>
      <c r="C980" s="326"/>
      <c r="D980" s="327" t="s">
        <v>702</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608"/>
      <c r="B981" s="608"/>
      <c r="C981" s="218" t="s">
        <v>703</v>
      </c>
      <c r="D981" s="240" t="s">
        <v>704</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608"/>
      <c r="B982" s="608"/>
      <c r="C982" s="218" t="s">
        <v>705</v>
      </c>
      <c r="D982" s="354" t="s">
        <v>1096</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608"/>
      <c r="B983" s="608"/>
      <c r="C983" s="218" t="s">
        <v>1097</v>
      </c>
      <c r="D983" s="75" t="s">
        <v>1098</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608"/>
      <c r="B984" s="608"/>
      <c r="C984" s="218" t="s">
        <v>1099</v>
      </c>
      <c r="D984" s="75" t="s">
        <v>1488</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608"/>
      <c r="B985" s="608"/>
      <c r="C985" s="218" t="s">
        <v>1489</v>
      </c>
      <c r="D985" s="75" t="s">
        <v>657</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608"/>
      <c r="B986" s="608"/>
      <c r="C986" s="218" t="s">
        <v>658</v>
      </c>
      <c r="D986" s="75" t="s">
        <v>659</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608"/>
      <c r="B987" s="608"/>
      <c r="C987" s="218"/>
      <c r="D987" s="13" t="s">
        <v>733</v>
      </c>
      <c r="E987" s="142"/>
      <c r="F987" s="143"/>
      <c r="G987" s="142"/>
      <c r="H987" s="307">
        <f t="shared" si="116"/>
        <v>0</v>
      </c>
      <c r="I987" s="145"/>
      <c r="J987" s="145"/>
      <c r="K987" s="145"/>
      <c r="L987" s="145"/>
      <c r="M987" s="146"/>
      <c r="N987" s="146"/>
      <c r="O987" s="146"/>
      <c r="P987" s="25"/>
      <c r="Q987" s="22"/>
    </row>
    <row r="988" spans="1:17" s="45" customFormat="1" ht="31.5" hidden="1">
      <c r="A988" s="608"/>
      <c r="B988" s="608"/>
      <c r="C988" s="218"/>
      <c r="D988" s="13" t="s">
        <v>734</v>
      </c>
      <c r="E988" s="142"/>
      <c r="F988" s="143"/>
      <c r="G988" s="142"/>
      <c r="H988" s="307">
        <f t="shared" si="116"/>
        <v>0</v>
      </c>
      <c r="I988" s="145"/>
      <c r="J988" s="145"/>
      <c r="K988" s="145"/>
      <c r="L988" s="145"/>
      <c r="M988" s="146"/>
      <c r="N988" s="146"/>
      <c r="O988" s="146"/>
      <c r="P988" s="25"/>
      <c r="Q988" s="22"/>
    </row>
    <row r="989" spans="1:17" s="45" customFormat="1" ht="31.5">
      <c r="A989" s="608"/>
      <c r="B989" s="608"/>
      <c r="C989" s="218"/>
      <c r="D989" s="225" t="s">
        <v>735</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608"/>
      <c r="B990" s="608"/>
      <c r="C990" s="218" t="s">
        <v>736</v>
      </c>
      <c r="D990" s="217" t="s">
        <v>737</v>
      </c>
      <c r="E990" s="142"/>
      <c r="F990" s="143"/>
      <c r="G990" s="142"/>
      <c r="H990" s="307">
        <f t="shared" si="116"/>
        <v>0</v>
      </c>
      <c r="I990" s="145"/>
      <c r="J990" s="145"/>
      <c r="K990" s="145"/>
      <c r="L990" s="145"/>
      <c r="M990" s="182"/>
      <c r="N990" s="146"/>
      <c r="O990" s="147"/>
      <c r="P990" s="25"/>
      <c r="Q990" s="22"/>
    </row>
    <row r="991" spans="1:17" s="45" customFormat="1" ht="31.5" hidden="1">
      <c r="A991" s="608"/>
      <c r="B991" s="608"/>
      <c r="C991" s="218"/>
      <c r="D991" s="217" t="s">
        <v>738</v>
      </c>
      <c r="E991" s="142"/>
      <c r="F991" s="143"/>
      <c r="G991" s="142"/>
      <c r="H991" s="307">
        <f t="shared" si="116"/>
        <v>0</v>
      </c>
      <c r="I991" s="145"/>
      <c r="J991" s="145"/>
      <c r="K991" s="145"/>
      <c r="L991" s="145"/>
      <c r="M991" s="182"/>
      <c r="N991" s="146"/>
      <c r="O991" s="147"/>
      <c r="P991" s="25"/>
      <c r="Q991" s="22"/>
    </row>
    <row r="992" spans="1:16" ht="31.5">
      <c r="A992" s="608"/>
      <c r="B992" s="608"/>
      <c r="C992" s="218" t="s">
        <v>739</v>
      </c>
      <c r="D992" s="240" t="s">
        <v>740</v>
      </c>
      <c r="E992" s="142"/>
      <c r="F992" s="143"/>
      <c r="G992" s="142"/>
      <c r="H992" s="307">
        <f t="shared" si="116"/>
        <v>334226.88</v>
      </c>
      <c r="I992" s="145"/>
      <c r="J992" s="145"/>
      <c r="K992" s="145"/>
      <c r="L992" s="145">
        <v>334226.88</v>
      </c>
      <c r="M992" s="182"/>
      <c r="N992" s="146"/>
      <c r="O992" s="147"/>
      <c r="P992" s="25"/>
    </row>
    <row r="993" spans="1:16" ht="31.5" hidden="1">
      <c r="A993" s="608"/>
      <c r="B993" s="608"/>
      <c r="C993" s="218" t="s">
        <v>741</v>
      </c>
      <c r="D993" s="240" t="s">
        <v>742</v>
      </c>
      <c r="E993" s="142"/>
      <c r="F993" s="143"/>
      <c r="G993" s="142"/>
      <c r="H993" s="307">
        <f t="shared" si="116"/>
        <v>0</v>
      </c>
      <c r="I993" s="145"/>
      <c r="J993" s="145"/>
      <c r="K993" s="145"/>
      <c r="L993" s="145"/>
      <c r="M993" s="182"/>
      <c r="N993" s="146"/>
      <c r="O993" s="147"/>
      <c r="P993" s="25"/>
    </row>
    <row r="994" spans="1:16" ht="47.25" hidden="1">
      <c r="A994" s="608"/>
      <c r="B994" s="608"/>
      <c r="C994" s="218" t="s">
        <v>1265</v>
      </c>
      <c r="D994" s="240" t="s">
        <v>1378</v>
      </c>
      <c r="E994" s="142"/>
      <c r="F994" s="143"/>
      <c r="G994" s="142"/>
      <c r="H994" s="307">
        <f t="shared" si="116"/>
        <v>0</v>
      </c>
      <c r="I994" s="145"/>
      <c r="J994" s="145"/>
      <c r="K994" s="145"/>
      <c r="L994" s="145"/>
      <c r="M994" s="182"/>
      <c r="N994" s="146"/>
      <c r="O994" s="147"/>
      <c r="P994" s="25"/>
    </row>
    <row r="995" spans="1:16" ht="31.5" hidden="1">
      <c r="A995" s="608"/>
      <c r="B995" s="608"/>
      <c r="C995" s="218" t="s">
        <v>1560</v>
      </c>
      <c r="D995" s="240" t="s">
        <v>2058</v>
      </c>
      <c r="E995" s="142"/>
      <c r="F995" s="143"/>
      <c r="G995" s="142"/>
      <c r="H995" s="307">
        <f t="shared" si="116"/>
        <v>0</v>
      </c>
      <c r="I995" s="145"/>
      <c r="J995" s="145"/>
      <c r="K995" s="145"/>
      <c r="L995" s="145"/>
      <c r="M995" s="182"/>
      <c r="N995" s="146"/>
      <c r="O995" s="147"/>
      <c r="P995" s="25"/>
    </row>
    <row r="996" spans="1:16" ht="15.75" hidden="1">
      <c r="A996" s="608"/>
      <c r="B996" s="608"/>
      <c r="C996" s="218" t="s">
        <v>2059</v>
      </c>
      <c r="D996" s="240" t="s">
        <v>91</v>
      </c>
      <c r="E996" s="142"/>
      <c r="F996" s="143"/>
      <c r="G996" s="142"/>
      <c r="H996" s="307">
        <f t="shared" si="116"/>
        <v>0</v>
      </c>
      <c r="I996" s="145"/>
      <c r="J996" s="145"/>
      <c r="K996" s="145"/>
      <c r="L996" s="145"/>
      <c r="M996" s="182"/>
      <c r="N996" s="146"/>
      <c r="O996" s="147"/>
      <c r="P996" s="25"/>
    </row>
    <row r="997" spans="1:16" ht="15.75">
      <c r="A997" s="608"/>
      <c r="B997" s="608"/>
      <c r="C997" s="218"/>
      <c r="D997" s="75" t="s">
        <v>288</v>
      </c>
      <c r="E997" s="142"/>
      <c r="F997" s="143"/>
      <c r="G997" s="142"/>
      <c r="H997" s="307">
        <f t="shared" si="116"/>
        <v>779863.12</v>
      </c>
      <c r="I997" s="145"/>
      <c r="J997" s="145"/>
      <c r="K997" s="145"/>
      <c r="L997" s="247">
        <v>779863.12</v>
      </c>
      <c r="M997" s="182"/>
      <c r="N997" s="146"/>
      <c r="O997" s="147"/>
      <c r="P997" s="25"/>
    </row>
    <row r="998" spans="1:16" ht="15.75">
      <c r="A998" s="608"/>
      <c r="B998" s="608"/>
      <c r="C998" s="218"/>
      <c r="D998" s="75" t="s">
        <v>289</v>
      </c>
      <c r="E998" s="142"/>
      <c r="F998" s="143"/>
      <c r="G998" s="142"/>
      <c r="H998" s="307">
        <f t="shared" si="116"/>
        <v>1400000</v>
      </c>
      <c r="I998" s="145"/>
      <c r="J998" s="145"/>
      <c r="K998" s="145"/>
      <c r="L998" s="247">
        <v>1400000</v>
      </c>
      <c r="M998" s="182"/>
      <c r="N998" s="146"/>
      <c r="O998" s="147"/>
      <c r="P998" s="25"/>
    </row>
    <row r="999" spans="1:17" s="30" customFormat="1" ht="31.5">
      <c r="A999" s="608"/>
      <c r="B999" s="608"/>
      <c r="C999" s="571"/>
      <c r="D999" s="225" t="s">
        <v>845</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608"/>
      <c r="B1000" s="608"/>
      <c r="C1000" s="572"/>
      <c r="D1000" s="353" t="s">
        <v>623</v>
      </c>
      <c r="E1000" s="292"/>
      <c r="F1000" s="335"/>
      <c r="G1000" s="292"/>
      <c r="H1000" s="307">
        <f t="shared" si="116"/>
        <v>4697.37</v>
      </c>
      <c r="I1000" s="308"/>
      <c r="J1000" s="308"/>
      <c r="K1000" s="308"/>
      <c r="L1000" s="308">
        <v>4697.37</v>
      </c>
      <c r="M1000" s="309"/>
      <c r="N1000" s="309"/>
      <c r="O1000" s="147"/>
      <c r="P1000" s="25"/>
    </row>
    <row r="1001" spans="1:16" ht="47.25" hidden="1">
      <c r="A1001" s="608"/>
      <c r="B1001" s="608"/>
      <c r="C1001" s="573"/>
      <c r="D1001" s="334" t="s">
        <v>624</v>
      </c>
      <c r="E1001" s="292"/>
      <c r="F1001" s="335"/>
      <c r="G1001" s="292"/>
      <c r="H1001" s="307">
        <f t="shared" si="116"/>
        <v>0</v>
      </c>
      <c r="I1001" s="308"/>
      <c r="J1001" s="308"/>
      <c r="K1001" s="308"/>
      <c r="L1001" s="308"/>
      <c r="M1001" s="309"/>
      <c r="N1001" s="309"/>
      <c r="O1001" s="147"/>
      <c r="P1001" s="25"/>
    </row>
    <row r="1002" spans="1:16" ht="15.75" hidden="1">
      <c r="A1002" s="608"/>
      <c r="B1002" s="608"/>
      <c r="C1002" s="333" t="s">
        <v>1723</v>
      </c>
      <c r="D1002" s="271" t="s">
        <v>1724</v>
      </c>
      <c r="E1002" s="292"/>
      <c r="F1002" s="335"/>
      <c r="G1002" s="292"/>
      <c r="H1002" s="307">
        <f t="shared" si="116"/>
        <v>0</v>
      </c>
      <c r="I1002" s="308"/>
      <c r="J1002" s="308"/>
      <c r="K1002" s="308"/>
      <c r="L1002" s="308"/>
      <c r="M1002" s="309"/>
      <c r="N1002" s="309"/>
      <c r="O1002" s="147"/>
      <c r="P1002" s="25"/>
    </row>
    <row r="1003" spans="1:17" s="30" customFormat="1" ht="31.5" hidden="1">
      <c r="A1003" s="608"/>
      <c r="B1003" s="608"/>
      <c r="C1003" s="306"/>
      <c r="D1003" s="225" t="s">
        <v>1682</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608"/>
      <c r="B1004" s="608"/>
      <c r="C1004" s="306" t="s">
        <v>1683</v>
      </c>
      <c r="D1004" s="217" t="s">
        <v>1684</v>
      </c>
      <c r="E1004" s="292"/>
      <c r="F1004" s="335"/>
      <c r="G1004" s="292"/>
      <c r="H1004" s="307">
        <f t="shared" si="116"/>
        <v>0</v>
      </c>
      <c r="I1004" s="308"/>
      <c r="J1004" s="308"/>
      <c r="K1004" s="308"/>
      <c r="L1004" s="308"/>
      <c r="M1004" s="294"/>
      <c r="N1004" s="294"/>
      <c r="O1004" s="294"/>
      <c r="P1004" s="47"/>
      <c r="Q1004" s="29"/>
    </row>
    <row r="1005" spans="1:16" ht="47.25" hidden="1">
      <c r="A1005" s="608"/>
      <c r="B1005" s="608"/>
      <c r="C1005" s="306" t="s">
        <v>1685</v>
      </c>
      <c r="D1005" s="271" t="s">
        <v>920</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921</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1647</v>
      </c>
      <c r="B1008" s="584" t="s">
        <v>306</v>
      </c>
      <c r="C1008" s="584"/>
      <c r="D1008" s="584"/>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587" t="s">
        <v>1104</v>
      </c>
      <c r="B1009" s="605" t="s">
        <v>633</v>
      </c>
      <c r="C1009" s="337"/>
      <c r="D1009" s="136" t="s">
        <v>1456</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588"/>
      <c r="B1010" s="607"/>
      <c r="C1010" s="338"/>
      <c r="D1010" s="141" t="s">
        <v>1193</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570"/>
      <c r="B1011" s="606"/>
      <c r="C1011" s="337"/>
      <c r="D1011" s="141" t="s">
        <v>138</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150</v>
      </c>
      <c r="B1012" s="166" t="s">
        <v>1255</v>
      </c>
      <c r="C1012" s="337"/>
      <c r="D1012" s="141" t="s">
        <v>644</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84" t="s">
        <v>922</v>
      </c>
      <c r="C1014" s="584"/>
      <c r="D1014" s="584"/>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81" t="s">
        <v>1756</v>
      </c>
      <c r="B1015" s="605" t="s">
        <v>1458</v>
      </c>
      <c r="C1015" s="195"/>
      <c r="D1015" s="136" t="s">
        <v>1456</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82"/>
      <c r="B1016" s="607"/>
      <c r="C1016" s="135" t="s">
        <v>923</v>
      </c>
      <c r="D1016" s="141" t="s">
        <v>849</v>
      </c>
      <c r="E1016" s="172"/>
      <c r="F1016" s="229"/>
      <c r="G1016" s="172"/>
      <c r="H1016" s="144">
        <f t="shared" si="121"/>
        <v>0</v>
      </c>
      <c r="I1016" s="145"/>
      <c r="J1016" s="145"/>
      <c r="K1016" s="145"/>
      <c r="L1016" s="145"/>
      <c r="M1016" s="146"/>
      <c r="N1016" s="146"/>
      <c r="O1016" s="147"/>
      <c r="P1016" s="25"/>
    </row>
    <row r="1017" spans="1:16" ht="31.5" hidden="1">
      <c r="A1017" s="582"/>
      <c r="B1017" s="607"/>
      <c r="C1017" s="135"/>
      <c r="D1017" s="141" t="s">
        <v>850</v>
      </c>
      <c r="E1017" s="172"/>
      <c r="F1017" s="229"/>
      <c r="G1017" s="172"/>
      <c r="H1017" s="144">
        <f t="shared" si="121"/>
        <v>0</v>
      </c>
      <c r="I1017" s="145"/>
      <c r="J1017" s="145"/>
      <c r="K1017" s="145"/>
      <c r="L1017" s="145"/>
      <c r="M1017" s="146"/>
      <c r="N1017" s="146"/>
      <c r="O1017" s="147"/>
      <c r="P1017" s="25"/>
    </row>
    <row r="1018" spans="1:16" ht="15.75" hidden="1">
      <c r="A1018" s="582"/>
      <c r="B1018" s="607"/>
      <c r="C1018" s="135"/>
      <c r="D1018" s="141" t="s">
        <v>851</v>
      </c>
      <c r="E1018" s="172"/>
      <c r="F1018" s="229"/>
      <c r="G1018" s="172"/>
      <c r="H1018" s="144">
        <f t="shared" si="121"/>
        <v>0</v>
      </c>
      <c r="I1018" s="145"/>
      <c r="J1018" s="145"/>
      <c r="K1018" s="145"/>
      <c r="L1018" s="145"/>
      <c r="M1018" s="146"/>
      <c r="N1018" s="146"/>
      <c r="O1018" s="147"/>
      <c r="P1018" s="25"/>
    </row>
    <row r="1019" spans="1:16" ht="15.75" hidden="1">
      <c r="A1019" s="582"/>
      <c r="B1019" s="607"/>
      <c r="C1019" s="135"/>
      <c r="D1019" s="141" t="s">
        <v>852</v>
      </c>
      <c r="E1019" s="172"/>
      <c r="F1019" s="229"/>
      <c r="G1019" s="172"/>
      <c r="H1019" s="144">
        <f t="shared" si="121"/>
        <v>0</v>
      </c>
      <c r="I1019" s="145"/>
      <c r="J1019" s="145"/>
      <c r="K1019" s="145"/>
      <c r="L1019" s="145"/>
      <c r="M1019" s="146"/>
      <c r="N1019" s="146"/>
      <c r="O1019" s="147"/>
      <c r="P1019" s="25"/>
    </row>
    <row r="1020" spans="1:16" ht="15.75" hidden="1">
      <c r="A1020" s="582"/>
      <c r="B1020" s="607"/>
      <c r="C1020" s="135"/>
      <c r="D1020" s="141" t="s">
        <v>853</v>
      </c>
      <c r="E1020" s="172"/>
      <c r="F1020" s="229"/>
      <c r="G1020" s="172"/>
      <c r="H1020" s="144">
        <f t="shared" si="121"/>
        <v>0</v>
      </c>
      <c r="I1020" s="145"/>
      <c r="J1020" s="145"/>
      <c r="K1020" s="145"/>
      <c r="L1020" s="145"/>
      <c r="M1020" s="146"/>
      <c r="N1020" s="146"/>
      <c r="O1020" s="147"/>
      <c r="P1020" s="25"/>
    </row>
    <row r="1021" spans="1:16" ht="15.75" hidden="1">
      <c r="A1021" s="582"/>
      <c r="B1021" s="607"/>
      <c r="C1021" s="135"/>
      <c r="D1021" s="141"/>
      <c r="E1021" s="172"/>
      <c r="F1021" s="229"/>
      <c r="G1021" s="172"/>
      <c r="H1021" s="144"/>
      <c r="I1021" s="145"/>
      <c r="J1021" s="145"/>
      <c r="K1021" s="145"/>
      <c r="L1021" s="145"/>
      <c r="M1021" s="146"/>
      <c r="N1021" s="146"/>
      <c r="O1021" s="147"/>
      <c r="P1021" s="25"/>
    </row>
    <row r="1022" spans="1:16" ht="15.75" hidden="1">
      <c r="A1022" s="582"/>
      <c r="B1022" s="607"/>
      <c r="C1022" s="135"/>
      <c r="D1022" s="141"/>
      <c r="E1022" s="172"/>
      <c r="F1022" s="229"/>
      <c r="G1022" s="172"/>
      <c r="H1022" s="144"/>
      <c r="I1022" s="145"/>
      <c r="J1022" s="145"/>
      <c r="K1022" s="145"/>
      <c r="L1022" s="145"/>
      <c r="M1022" s="146"/>
      <c r="N1022" s="146"/>
      <c r="O1022" s="147"/>
      <c r="P1022" s="25"/>
    </row>
    <row r="1023" spans="1:16" ht="15.75" hidden="1">
      <c r="A1023" s="582"/>
      <c r="B1023" s="607"/>
      <c r="C1023" s="135"/>
      <c r="D1023" s="141"/>
      <c r="E1023" s="172"/>
      <c r="F1023" s="229"/>
      <c r="G1023" s="172"/>
      <c r="H1023" s="144"/>
      <c r="I1023" s="145"/>
      <c r="J1023" s="145"/>
      <c r="K1023" s="145"/>
      <c r="L1023" s="145"/>
      <c r="M1023" s="146"/>
      <c r="N1023" s="146"/>
      <c r="O1023" s="147"/>
      <c r="P1023" s="25"/>
    </row>
    <row r="1024" spans="1:16" ht="15.75" hidden="1">
      <c r="A1024" s="582"/>
      <c r="B1024" s="607"/>
      <c r="C1024" s="135"/>
      <c r="D1024" s="141"/>
      <c r="E1024" s="172"/>
      <c r="F1024" s="229"/>
      <c r="G1024" s="172"/>
      <c r="H1024" s="144"/>
      <c r="I1024" s="145"/>
      <c r="J1024" s="145"/>
      <c r="K1024" s="145"/>
      <c r="L1024" s="145"/>
      <c r="M1024" s="146"/>
      <c r="N1024" s="146"/>
      <c r="O1024" s="147"/>
      <c r="P1024" s="25"/>
    </row>
    <row r="1025" spans="1:16" ht="15.75" hidden="1">
      <c r="A1025" s="582"/>
      <c r="B1025" s="607"/>
      <c r="C1025" s="135"/>
      <c r="D1025" s="141"/>
      <c r="E1025" s="172"/>
      <c r="F1025" s="229"/>
      <c r="G1025" s="172"/>
      <c r="H1025" s="144"/>
      <c r="I1025" s="145"/>
      <c r="J1025" s="145"/>
      <c r="K1025" s="145"/>
      <c r="L1025" s="145"/>
      <c r="M1025" s="146"/>
      <c r="N1025" s="146"/>
      <c r="O1025" s="147"/>
      <c r="P1025" s="25"/>
    </row>
    <row r="1026" spans="1:16" ht="15.75" hidden="1">
      <c r="A1026" s="582"/>
      <c r="B1026" s="607"/>
      <c r="C1026" s="135"/>
      <c r="D1026" s="141"/>
      <c r="E1026" s="172"/>
      <c r="F1026" s="229"/>
      <c r="G1026" s="172"/>
      <c r="H1026" s="144"/>
      <c r="I1026" s="145"/>
      <c r="J1026" s="145"/>
      <c r="K1026" s="145"/>
      <c r="L1026" s="145"/>
      <c r="M1026" s="146"/>
      <c r="N1026" s="146"/>
      <c r="O1026" s="147"/>
      <c r="P1026" s="25"/>
    </row>
    <row r="1027" spans="1:16" ht="15.75" hidden="1">
      <c r="A1027" s="582"/>
      <c r="B1027" s="607"/>
      <c r="C1027" s="135"/>
      <c r="D1027" s="141"/>
      <c r="E1027" s="172"/>
      <c r="F1027" s="229"/>
      <c r="G1027" s="172"/>
      <c r="H1027" s="144"/>
      <c r="I1027" s="145"/>
      <c r="J1027" s="145"/>
      <c r="K1027" s="145"/>
      <c r="L1027" s="145"/>
      <c r="M1027" s="146"/>
      <c r="N1027" s="146"/>
      <c r="O1027" s="147"/>
      <c r="P1027" s="25"/>
    </row>
    <row r="1028" spans="1:16" ht="15.75" hidden="1">
      <c r="A1028" s="582"/>
      <c r="B1028" s="607"/>
      <c r="C1028" s="135"/>
      <c r="D1028" s="141"/>
      <c r="E1028" s="172"/>
      <c r="F1028" s="229"/>
      <c r="G1028" s="172"/>
      <c r="H1028" s="144"/>
      <c r="I1028" s="145"/>
      <c r="J1028" s="145"/>
      <c r="K1028" s="145"/>
      <c r="L1028" s="145"/>
      <c r="M1028" s="146"/>
      <c r="N1028" s="146"/>
      <c r="O1028" s="147"/>
      <c r="P1028" s="25"/>
    </row>
    <row r="1029" spans="1:16" ht="15.75" hidden="1">
      <c r="A1029" s="582"/>
      <c r="B1029" s="607"/>
      <c r="C1029" s="135" t="s">
        <v>854</v>
      </c>
      <c r="D1029" s="141" t="s">
        <v>855</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83"/>
      <c r="B1030" s="606"/>
      <c r="C1030" s="135" t="s">
        <v>1197</v>
      </c>
      <c r="D1030" s="141" t="s">
        <v>1198</v>
      </c>
      <c r="E1030" s="172"/>
      <c r="F1030" s="229"/>
      <c r="G1030" s="172"/>
      <c r="H1030" s="144">
        <f t="shared" si="124"/>
        <v>0</v>
      </c>
      <c r="I1030" s="145"/>
      <c r="J1030" s="145"/>
      <c r="K1030" s="145"/>
      <c r="L1030" s="145"/>
      <c r="M1030" s="146"/>
      <c r="N1030" s="146"/>
      <c r="O1030" s="147"/>
      <c r="P1030" s="25"/>
    </row>
    <row r="1031" spans="1:17" s="30" customFormat="1" ht="15.75" hidden="1">
      <c r="A1031" s="603">
        <v>150118</v>
      </c>
      <c r="B1031" s="605" t="s">
        <v>149</v>
      </c>
      <c r="C1031" s="195"/>
      <c r="D1031" s="136" t="s">
        <v>1456</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608"/>
      <c r="B1032" s="607"/>
      <c r="C1032" s="135"/>
      <c r="D1032" s="141" t="s">
        <v>977</v>
      </c>
      <c r="E1032" s="172"/>
      <c r="F1032" s="229"/>
      <c r="G1032" s="172"/>
      <c r="H1032" s="144">
        <f t="shared" si="124"/>
        <v>0</v>
      </c>
      <c r="I1032" s="163"/>
      <c r="J1032" s="163"/>
      <c r="K1032" s="163"/>
      <c r="L1032" s="163"/>
      <c r="M1032" s="182"/>
      <c r="N1032" s="182"/>
      <c r="O1032" s="182"/>
      <c r="P1032" s="47"/>
      <c r="Q1032" s="29"/>
    </row>
    <row r="1033" spans="1:17" s="30" customFormat="1" ht="47.25" hidden="1">
      <c r="A1033" s="608"/>
      <c r="B1033" s="607"/>
      <c r="C1033" s="135"/>
      <c r="D1033" s="95" t="s">
        <v>548</v>
      </c>
      <c r="E1033" s="172"/>
      <c r="F1033" s="229"/>
      <c r="G1033" s="172"/>
      <c r="H1033" s="144">
        <f t="shared" si="124"/>
        <v>0</v>
      </c>
      <c r="I1033" s="163"/>
      <c r="J1033" s="163"/>
      <c r="K1033" s="163"/>
      <c r="L1033" s="163"/>
      <c r="M1033" s="182"/>
      <c r="N1033" s="182"/>
      <c r="O1033" s="182"/>
      <c r="P1033" s="47"/>
      <c r="Q1033" s="29"/>
    </row>
    <row r="1034" spans="1:17" s="30" customFormat="1" ht="31.5" hidden="1">
      <c r="A1034" s="608"/>
      <c r="B1034" s="607"/>
      <c r="C1034" s="135"/>
      <c r="D1034" s="96" t="s">
        <v>549</v>
      </c>
      <c r="E1034" s="172"/>
      <c r="F1034" s="229"/>
      <c r="G1034" s="172"/>
      <c r="H1034" s="144">
        <f t="shared" si="124"/>
        <v>0</v>
      </c>
      <c r="I1034" s="163"/>
      <c r="J1034" s="163"/>
      <c r="K1034" s="163"/>
      <c r="L1034" s="163"/>
      <c r="M1034" s="182"/>
      <c r="N1034" s="182"/>
      <c r="O1034" s="182"/>
      <c r="P1034" s="47"/>
      <c r="Q1034" s="29"/>
    </row>
    <row r="1035" spans="1:17" s="45" customFormat="1" ht="31.5" hidden="1">
      <c r="A1035" s="604"/>
      <c r="B1035" s="606"/>
      <c r="C1035" s="135" t="s">
        <v>550</v>
      </c>
      <c r="D1035" s="141" t="s">
        <v>551</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81" t="s">
        <v>305</v>
      </c>
      <c r="B1036" s="605" t="s">
        <v>753</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82"/>
      <c r="B1037" s="607"/>
      <c r="C1037" s="135" t="s">
        <v>552</v>
      </c>
      <c r="D1037" s="225" t="s">
        <v>553</v>
      </c>
      <c r="E1037" s="172"/>
      <c r="F1037" s="229"/>
      <c r="G1037" s="172"/>
      <c r="H1037" s="169">
        <f t="shared" si="124"/>
        <v>0</v>
      </c>
      <c r="I1037" s="163"/>
      <c r="J1037" s="163"/>
      <c r="K1037" s="163"/>
      <c r="L1037" s="163"/>
      <c r="M1037" s="182"/>
      <c r="N1037" s="182"/>
      <c r="O1037" s="183"/>
      <c r="P1037" s="47"/>
      <c r="Q1037" s="29"/>
    </row>
    <row r="1038" spans="1:17" s="30" customFormat="1" ht="31.5" hidden="1">
      <c r="A1038" s="583"/>
      <c r="B1038" s="606"/>
      <c r="C1038" s="135"/>
      <c r="D1038" s="225" t="s">
        <v>554</v>
      </c>
      <c r="E1038" s="172"/>
      <c r="F1038" s="229"/>
      <c r="G1038" s="172"/>
      <c r="H1038" s="169">
        <f t="shared" si="124"/>
        <v>0</v>
      </c>
      <c r="I1038" s="163"/>
      <c r="J1038" s="163"/>
      <c r="K1038" s="163"/>
      <c r="L1038" s="163"/>
      <c r="M1038" s="182"/>
      <c r="N1038" s="182"/>
      <c r="O1038" s="183"/>
      <c r="P1038" s="47"/>
      <c r="Q1038" s="29"/>
    </row>
    <row r="1039" spans="1:63" s="28" customFormat="1" ht="15.75" hidden="1">
      <c r="A1039" s="581" t="s">
        <v>1449</v>
      </c>
      <c r="B1039" s="605" t="s">
        <v>1256</v>
      </c>
      <c r="C1039" s="267"/>
      <c r="D1039" s="168" t="s">
        <v>250</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83"/>
      <c r="B1040" s="606"/>
      <c r="C1040" s="266" t="s">
        <v>552</v>
      </c>
      <c r="D1040" s="271" t="s">
        <v>251</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1647</v>
      </c>
      <c r="B1042" s="584" t="s">
        <v>306</v>
      </c>
      <c r="C1042" s="584"/>
      <c r="D1042" s="584"/>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85" t="s">
        <v>1756</v>
      </c>
      <c r="B1043" s="586" t="s">
        <v>1458</v>
      </c>
      <c r="C1043" s="195"/>
      <c r="D1043" s="216" t="s">
        <v>1456</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85"/>
      <c r="B1044" s="586"/>
      <c r="C1044" s="148" t="s">
        <v>1197</v>
      </c>
      <c r="D1044" s="141" t="s">
        <v>1198</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1255</v>
      </c>
      <c r="C1045" s="167" t="s">
        <v>252</v>
      </c>
      <c r="D1045" s="168" t="s">
        <v>583</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580" t="s">
        <v>584</v>
      </c>
      <c r="B1047" s="580"/>
      <c r="C1047" s="580"/>
      <c r="D1047" s="580"/>
      <c r="E1047" s="580"/>
      <c r="F1047" s="580"/>
      <c r="G1047" s="580"/>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C271:C272"/>
    <mergeCell ref="A8:A39"/>
    <mergeCell ref="B8:B39"/>
    <mergeCell ref="A42:A45"/>
    <mergeCell ref="A46:A48"/>
    <mergeCell ref="B46:B48"/>
    <mergeCell ref="A50:A62"/>
    <mergeCell ref="B42:B45"/>
    <mergeCell ref="A40:A41"/>
    <mergeCell ref="B40:B41"/>
    <mergeCell ref="K1:O1"/>
    <mergeCell ref="A2:O2"/>
    <mergeCell ref="C4:C5"/>
    <mergeCell ref="D4:D5"/>
    <mergeCell ref="E4:E5"/>
    <mergeCell ref="H4:H5"/>
    <mergeCell ref="I4:O4"/>
    <mergeCell ref="F1:H1"/>
    <mergeCell ref="G4:G5"/>
    <mergeCell ref="F4:F5"/>
    <mergeCell ref="A65:A69"/>
    <mergeCell ref="C86:C88"/>
    <mergeCell ref="B64:D64"/>
    <mergeCell ref="A72:A73"/>
    <mergeCell ref="B7:D7"/>
    <mergeCell ref="B65:B69"/>
    <mergeCell ref="B71:D71"/>
    <mergeCell ref="B84:B139"/>
    <mergeCell ref="B50:B62"/>
    <mergeCell ref="A268:A272"/>
    <mergeCell ref="B268:B272"/>
    <mergeCell ref="B72:B73"/>
    <mergeCell ref="C159:C163"/>
    <mergeCell ref="C103:C111"/>
    <mergeCell ref="C150:C158"/>
    <mergeCell ref="C203:C226"/>
    <mergeCell ref="C112:C116"/>
    <mergeCell ref="C93:C97"/>
    <mergeCell ref="B76:D76"/>
    <mergeCell ref="A273:A275"/>
    <mergeCell ref="B273:B275"/>
    <mergeCell ref="A318:A321"/>
    <mergeCell ref="B287:B294"/>
    <mergeCell ref="B278:B280"/>
    <mergeCell ref="A281:A285"/>
    <mergeCell ref="A276:A277"/>
    <mergeCell ref="B276:B277"/>
    <mergeCell ref="B281:B285"/>
    <mergeCell ref="A295:A300"/>
    <mergeCell ref="C167:C170"/>
    <mergeCell ref="C176:C178"/>
    <mergeCell ref="A77:A82"/>
    <mergeCell ref="B77:B82"/>
    <mergeCell ref="A147:A260"/>
    <mergeCell ref="B147:B260"/>
    <mergeCell ref="C89:C91"/>
    <mergeCell ref="A84:A139"/>
    <mergeCell ref="A371:A375"/>
    <mergeCell ref="B371:B375"/>
    <mergeCell ref="B301:B312"/>
    <mergeCell ref="B322:B331"/>
    <mergeCell ref="A343:A369"/>
    <mergeCell ref="B343:B369"/>
    <mergeCell ref="A376:A389"/>
    <mergeCell ref="B318:B321"/>
    <mergeCell ref="A278:A280"/>
    <mergeCell ref="C187:C191"/>
    <mergeCell ref="A287:A294"/>
    <mergeCell ref="B295:B300"/>
    <mergeCell ref="A301:A312"/>
    <mergeCell ref="A322:A331"/>
    <mergeCell ref="C386:C388"/>
    <mergeCell ref="B376:B389"/>
    <mergeCell ref="B391:D391"/>
    <mergeCell ref="C445:C447"/>
    <mergeCell ref="C450:C453"/>
    <mergeCell ref="C455:C458"/>
    <mergeCell ref="B395:B428"/>
    <mergeCell ref="B432:B492"/>
    <mergeCell ref="C459:C463"/>
    <mergeCell ref="A524:A534"/>
    <mergeCell ref="B563:D563"/>
    <mergeCell ref="A559:A561"/>
    <mergeCell ref="B559:B561"/>
    <mergeCell ref="A541:A555"/>
    <mergeCell ref="B541:B555"/>
    <mergeCell ref="A392:A393"/>
    <mergeCell ref="B392:B393"/>
    <mergeCell ref="A432:A492"/>
    <mergeCell ref="B507:B513"/>
    <mergeCell ref="A395:A428"/>
    <mergeCell ref="A429:A431"/>
    <mergeCell ref="B429:B431"/>
    <mergeCell ref="B493:B506"/>
    <mergeCell ref="A600:A603"/>
    <mergeCell ref="B600:B603"/>
    <mergeCell ref="A493:A506"/>
    <mergeCell ref="B517:B521"/>
    <mergeCell ref="A517:A521"/>
    <mergeCell ref="A507:A513"/>
    <mergeCell ref="B524:B534"/>
    <mergeCell ref="A564:A565"/>
    <mergeCell ref="B564:B565"/>
    <mergeCell ref="B523:D523"/>
    <mergeCell ref="C494:C498"/>
    <mergeCell ref="B558:D558"/>
    <mergeCell ref="A604:A612"/>
    <mergeCell ref="B663:B667"/>
    <mergeCell ref="A567:A599"/>
    <mergeCell ref="B566:D566"/>
    <mergeCell ref="B604:B612"/>
    <mergeCell ref="A613:A662"/>
    <mergeCell ref="B613:B662"/>
    <mergeCell ref="B567:B599"/>
    <mergeCell ref="A852:A864"/>
    <mergeCell ref="B852:B864"/>
    <mergeCell ref="A865:A866"/>
    <mergeCell ref="A872:A942"/>
    <mergeCell ref="B865:B866"/>
    <mergeCell ref="A867:A868"/>
    <mergeCell ref="B867:B868"/>
    <mergeCell ref="B832:D832"/>
    <mergeCell ref="A663:A667"/>
    <mergeCell ref="A839:A840"/>
    <mergeCell ref="B839:B840"/>
    <mergeCell ref="A828:A830"/>
    <mergeCell ref="B668:B827"/>
    <mergeCell ref="A833:A838"/>
    <mergeCell ref="B833:B838"/>
    <mergeCell ref="B828:B830"/>
    <mergeCell ref="A668:A827"/>
    <mergeCell ref="A841:A846"/>
    <mergeCell ref="B841:B846"/>
    <mergeCell ref="A849:A851"/>
    <mergeCell ref="B849:B851"/>
    <mergeCell ref="A847:A848"/>
    <mergeCell ref="B847:B848"/>
    <mergeCell ref="B1008:D1008"/>
    <mergeCell ref="C999:C1001"/>
    <mergeCell ref="A947:A948"/>
    <mergeCell ref="B872:B942"/>
    <mergeCell ref="B947:B948"/>
    <mergeCell ref="C896:C899"/>
    <mergeCell ref="A951:A975"/>
    <mergeCell ref="B951:B975"/>
    <mergeCell ref="A979:A1005"/>
    <mergeCell ref="B979:B1005"/>
    <mergeCell ref="B1014:D1014"/>
    <mergeCell ref="B1009:B1011"/>
    <mergeCell ref="A1031:A1035"/>
    <mergeCell ref="B1031:B1035"/>
    <mergeCell ref="A1015:A1030"/>
    <mergeCell ref="B1015:B1030"/>
    <mergeCell ref="A1009:A1011"/>
    <mergeCell ref="A1047:G1047"/>
    <mergeCell ref="A1036:A1038"/>
    <mergeCell ref="B1036:B1038"/>
    <mergeCell ref="A1039:A1040"/>
    <mergeCell ref="B1039:B1040"/>
    <mergeCell ref="B1042:D1042"/>
    <mergeCell ref="A1043:A1044"/>
    <mergeCell ref="B1043:B1044"/>
    <mergeCell ref="A949:A950"/>
    <mergeCell ref="B949:B950"/>
    <mergeCell ref="B869:B871"/>
    <mergeCell ref="A943:A946"/>
    <mergeCell ref="B943:B946"/>
    <mergeCell ref="A869:A87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dimension ref="A1:BJ2603"/>
  <sheetViews>
    <sheetView tabSelected="1" zoomScale="75" zoomScaleNormal="75" zoomScalePageLayoutView="0" workbookViewId="0" topLeftCell="A3">
      <pane xSplit="8" ySplit="2" topLeftCell="I5" activePane="bottomRight" state="frozen"/>
      <selection pane="topLeft" activeCell="A3" sqref="A3"/>
      <selection pane="topRight" activeCell="I3" sqref="I3"/>
      <selection pane="bottomLeft" activeCell="A5" sqref="A5"/>
      <selection pane="bottomRight" activeCell="AB8" sqref="AB8"/>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5" customWidth="1"/>
    <col min="9" max="9" width="24.625" style="397" customWidth="1"/>
    <col min="10" max="10" width="27.875" style="102" hidden="1" customWidth="1"/>
    <col min="11" max="11" width="14.875" style="103" hidden="1" customWidth="1"/>
    <col min="12" max="12" width="23.375" style="102" hidden="1" customWidth="1"/>
    <col min="13" max="13" width="64.875" style="99" hidden="1" customWidth="1"/>
    <col min="14" max="14" width="13.25390625" style="22" hidden="1" customWidth="1"/>
    <col min="15" max="15" width="14.375" style="22" hidden="1" customWidth="1"/>
    <col min="16" max="16" width="13.25390625" style="45" hidden="1" customWidth="1"/>
    <col min="17" max="24" width="14.375" style="45" hidden="1" customWidth="1"/>
    <col min="25" max="25" width="13.25390625" style="45" hidden="1" customWidth="1"/>
    <col min="26" max="26" width="21.75390625" style="45" customWidth="1"/>
    <col min="27" max="27" width="17.125" style="45" customWidth="1"/>
    <col min="28" max="28" width="22.375" style="45" customWidth="1"/>
    <col min="29" max="29" width="12.00390625" style="45" hidden="1" customWidth="1"/>
    <col min="30" max="30" width="18.625" style="45" hidden="1" customWidth="1"/>
    <col min="31" max="31" width="15.25390625" style="45" hidden="1" customWidth="1"/>
    <col min="32" max="32" width="31.375" style="45" hidden="1" customWidth="1"/>
    <col min="33" max="33" width="19.125" style="45" hidden="1" customWidth="1"/>
    <col min="34" max="34" width="17.75390625" style="45" hidden="1" customWidth="1"/>
    <col min="35" max="62" width="9.125" style="45" customWidth="1"/>
    <col min="63" max="16384" width="9.125" style="23" customWidth="1"/>
  </cols>
  <sheetData>
    <row r="1" spans="1:13" ht="82.5" customHeight="1" hidden="1">
      <c r="A1" s="633" t="s">
        <v>253</v>
      </c>
      <c r="B1" s="633"/>
      <c r="C1" s="633"/>
      <c r="D1" s="633"/>
      <c r="E1" s="633"/>
      <c r="F1" s="633"/>
      <c r="G1" s="633"/>
      <c r="H1" s="633"/>
      <c r="I1" s="633"/>
      <c r="J1" s="633"/>
      <c r="K1" s="633"/>
      <c r="L1" s="633"/>
      <c r="M1" s="633"/>
    </row>
    <row r="2" spans="1:13" ht="18.75" hidden="1">
      <c r="A2" s="111"/>
      <c r="B2" s="111"/>
      <c r="C2" s="112"/>
      <c r="D2" s="113"/>
      <c r="E2" s="111"/>
      <c r="F2" s="111"/>
      <c r="G2" s="111"/>
      <c r="H2" s="414"/>
      <c r="I2" s="390" t="s">
        <v>110</v>
      </c>
      <c r="J2" s="115"/>
      <c r="K2" s="388"/>
      <c r="L2" s="115"/>
      <c r="M2" s="117"/>
    </row>
    <row r="3" spans="1:26" ht="18.75" customHeight="1">
      <c r="A3" s="111"/>
      <c r="B3" s="654"/>
      <c r="C3" s="654"/>
      <c r="D3" s="654"/>
      <c r="E3" s="654"/>
      <c r="F3" s="654"/>
      <c r="G3" s="654"/>
      <c r="H3" s="654"/>
      <c r="I3" s="440"/>
      <c r="J3" s="115"/>
      <c r="K3" s="388"/>
      <c r="L3" s="115"/>
      <c r="M3" s="117"/>
      <c r="Z3" s="441"/>
    </row>
    <row r="4" spans="1:26" ht="56.25">
      <c r="A4" s="478" t="s">
        <v>1404</v>
      </c>
      <c r="B4" s="655" t="s">
        <v>588</v>
      </c>
      <c r="C4" s="655"/>
      <c r="D4" s="655"/>
      <c r="E4" s="655"/>
      <c r="F4" s="655"/>
      <c r="G4" s="655"/>
      <c r="H4" s="655"/>
      <c r="I4" s="477" t="s">
        <v>589</v>
      </c>
      <c r="J4" s="477"/>
      <c r="K4" s="170"/>
      <c r="L4" s="477"/>
      <c r="M4" s="478"/>
      <c r="N4" s="402" t="s">
        <v>1309</v>
      </c>
      <c r="O4" s="403" t="s">
        <v>1310</v>
      </c>
      <c r="P4" s="404" t="s">
        <v>1311</v>
      </c>
      <c r="Q4" s="404" t="s">
        <v>1312</v>
      </c>
      <c r="R4" s="404" t="s">
        <v>1313</v>
      </c>
      <c r="S4" s="404" t="s">
        <v>1314</v>
      </c>
      <c r="T4" s="404" t="s">
        <v>1315</v>
      </c>
      <c r="U4" s="404" t="s">
        <v>1316</v>
      </c>
      <c r="V4" s="404" t="s">
        <v>1317</v>
      </c>
      <c r="W4" s="404" t="s">
        <v>1318</v>
      </c>
      <c r="X4" s="404" t="s">
        <v>1331</v>
      </c>
      <c r="Y4" s="404" t="s">
        <v>1332</v>
      </c>
      <c r="Z4" s="481" t="s">
        <v>48</v>
      </c>
    </row>
    <row r="5" spans="1:26" ht="36.75" customHeight="1">
      <c r="A5" s="398">
        <v>31030000</v>
      </c>
      <c r="B5" s="656" t="s">
        <v>820</v>
      </c>
      <c r="C5" s="656"/>
      <c r="D5" s="656"/>
      <c r="E5" s="656"/>
      <c r="F5" s="656"/>
      <c r="G5" s="656"/>
      <c r="H5" s="656"/>
      <c r="I5" s="123">
        <f>SUM(N5:Y5)</f>
        <v>4750000</v>
      </c>
      <c r="J5" s="123"/>
      <c r="K5" s="169"/>
      <c r="L5" s="123"/>
      <c r="M5" s="123"/>
      <c r="N5" s="407"/>
      <c r="O5" s="407"/>
      <c r="P5" s="407"/>
      <c r="Q5" s="407">
        <v>1441000</v>
      </c>
      <c r="R5" s="407">
        <v>207000</v>
      </c>
      <c r="S5" s="407">
        <v>19000</v>
      </c>
      <c r="T5" s="407">
        <v>16000</v>
      </c>
      <c r="U5" s="407">
        <v>40000</v>
      </c>
      <c r="V5" s="407">
        <v>-1022154.38</v>
      </c>
      <c r="W5" s="407">
        <v>-777577.85</v>
      </c>
      <c r="X5" s="407">
        <f>5250000-3298000</f>
        <v>1952000</v>
      </c>
      <c r="Y5" s="407">
        <f>3027000-152267.77</f>
        <v>2874732.23</v>
      </c>
      <c r="Z5" s="407">
        <f>1435713.02+18916.96+2.68+2.47+157281.58+5.99+11.41+17956.46+29021.67+3.03+1.79+7.28+452.39+2.42+9.04+2.44+5.22+5.53+3.64+19166.67+2.5+1.8+2.1+2.71+1.86+2.71+1500+76483.53+12.83+6.58+16.52+25.62+4.68+30.97+4.76+3.76+1.24+3.68+3.15+0.35+14.17+8.45+2.42+3.64+14.17+0.58+6.69+3.43+0.79+1.24+2.01+11.38+7.63</f>
        <v>1756759.64</v>
      </c>
    </row>
    <row r="6" spans="1:26" ht="18.75" customHeight="1">
      <c r="A6" s="398">
        <v>33000000</v>
      </c>
      <c r="B6" s="656" t="s">
        <v>821</v>
      </c>
      <c r="C6" s="656"/>
      <c r="D6" s="656"/>
      <c r="E6" s="656"/>
      <c r="F6" s="656"/>
      <c r="G6" s="656"/>
      <c r="H6" s="656"/>
      <c r="I6" s="123">
        <f>SUM(N6:Y6)</f>
        <v>23077125.61</v>
      </c>
      <c r="J6" s="123"/>
      <c r="K6" s="169"/>
      <c r="L6" s="123"/>
      <c r="M6" s="123"/>
      <c r="N6" s="407"/>
      <c r="O6" s="407"/>
      <c r="P6" s="407"/>
      <c r="Q6" s="407">
        <v>1480000</v>
      </c>
      <c r="R6" s="407">
        <v>1575400</v>
      </c>
      <c r="S6" s="407">
        <v>1767200</v>
      </c>
      <c r="T6" s="407">
        <v>2409900</v>
      </c>
      <c r="U6" s="407">
        <v>2381500</v>
      </c>
      <c r="V6" s="407">
        <f>3314300-874.39</f>
        <v>3313425.61</v>
      </c>
      <c r="W6" s="407">
        <v>4648800</v>
      </c>
      <c r="X6" s="407">
        <v>2733500</v>
      </c>
      <c r="Y6" s="407">
        <v>2767400</v>
      </c>
      <c r="Z6" s="407">
        <f>1534829.75+26444.52+6826.5+485773+2150+14723.92+27449.42+1500+2150+15283.43+18450+1200+27723.92+53549.04+2786+2150+15436.27-28931.72+26478.73+27834.81+3159.59+2150+15498.02+6826.5+20000+44261.03+2150+15498.02+19537.98+250609+30763.16+55764.95+2150+13500+16075.04+4660.26+520960+300000+100000+29564.07+78406</f>
        <v>3795341.21</v>
      </c>
    </row>
    <row r="7" spans="1:26" ht="18.75" customHeight="1">
      <c r="A7" s="399">
        <v>18010000</v>
      </c>
      <c r="B7" s="657" t="s">
        <v>168</v>
      </c>
      <c r="C7" s="657"/>
      <c r="D7" s="657"/>
      <c r="E7" s="657"/>
      <c r="F7" s="657"/>
      <c r="G7" s="657"/>
      <c r="H7" s="657"/>
      <c r="I7" s="123">
        <f>SUM(N7:Y7)</f>
        <v>267200</v>
      </c>
      <c r="J7" s="123"/>
      <c r="K7" s="169"/>
      <c r="L7" s="123"/>
      <c r="M7" s="123"/>
      <c r="N7" s="407"/>
      <c r="O7" s="407"/>
      <c r="P7" s="407"/>
      <c r="Q7" s="407">
        <v>106500</v>
      </c>
      <c r="R7" s="407"/>
      <c r="S7" s="407">
        <v>3000</v>
      </c>
      <c r="T7" s="407">
        <v>73000</v>
      </c>
      <c r="U7" s="407"/>
      <c r="V7" s="407">
        <v>5000</v>
      </c>
      <c r="W7" s="407">
        <v>73000</v>
      </c>
      <c r="X7" s="407"/>
      <c r="Y7" s="407">
        <v>6700</v>
      </c>
      <c r="Z7" s="407">
        <f>128377.26+240+58.41+91.76+29.3+949.71+52.58+445.04+344.1+1885.09+836.55+167.46+2352.58+771.38+1230.79+1010.65+1680.23+282.25+496.74+2051.22+99.41+541.83+154.37+750.91+341.24+6245.99+664.77+2559.97+718.78+586.33+3790.56+2278.38+17918.08+66473.92+5396.09+644.29+6101.89+850.22+478.4+205.98+160.1+399.58+41.1+132.74+205.03+802.36+675.26+10056.06+400.78+309.03+2872.13+8296.12+3841.29+906.47+144.97+141.7+237.43+114.22+200+108.73+820.91+3090.04+241.95+640.54+88.41+66.43+230.2+11664.39+6659.11+345.75+51.31+813.53+662.44+586.97+560.52+1541.54+918.56+2156.49+335.42+761.41+482.9+2117.08+1296.19+389.68+6283.98+989.7+2272.8+2560.07+47002.33+7027.18+16933.1+26756.78+847.54+520.81+338.74+189.25+498.11+208.05+508.32+138.42+525.6+507.55+8267.97+48.84</f>
        <v>449146.52</v>
      </c>
    </row>
    <row r="8" spans="1:26" ht="18.75" customHeight="1">
      <c r="A8" s="400">
        <v>18050000</v>
      </c>
      <c r="B8" s="657" t="s">
        <v>169</v>
      </c>
      <c r="C8" s="657"/>
      <c r="D8" s="657"/>
      <c r="E8" s="657"/>
      <c r="F8" s="657"/>
      <c r="G8" s="657"/>
      <c r="H8" s="657"/>
      <c r="I8" s="123">
        <f>SUM(N8:Y8)</f>
        <v>71975995.84</v>
      </c>
      <c r="J8" s="123"/>
      <c r="K8" s="169"/>
      <c r="L8" s="123"/>
      <c r="M8" s="123"/>
      <c r="N8" s="407">
        <v>7479600</v>
      </c>
      <c r="O8" s="407">
        <v>8040000</v>
      </c>
      <c r="P8" s="407">
        <v>3093000</v>
      </c>
      <c r="Q8" s="407">
        <v>6500000</v>
      </c>
      <c r="R8" s="407">
        <v>6500000</v>
      </c>
      <c r="S8" s="407">
        <v>2600000</v>
      </c>
      <c r="T8" s="407">
        <v>7100000</v>
      </c>
      <c r="U8" s="407">
        <v>8100000</v>
      </c>
      <c r="V8" s="407">
        <v>3100000</v>
      </c>
      <c r="W8" s="407">
        <v>7500000</v>
      </c>
      <c r="X8" s="407">
        <v>8700000</v>
      </c>
      <c r="Y8" s="407">
        <v>3263395.84</v>
      </c>
      <c r="Z8" s="407">
        <f>61736919.73+422369.66+404096.94+438650.07+614599.49+718749.82+626373.51+263660.18+467855.69+151297.95+266609.38+196805.18+448344.45+314984.28+297569.34+275724.79+661935.37+500097.96+867644.28+911329.02+792171.49+861102.82+679277.12+606233.02+402356.25+650363.38+1297655.06+1176557.01+1224843.51</f>
        <v>78276176.75</v>
      </c>
    </row>
    <row r="9" spans="1:28" ht="18.75" customHeight="1">
      <c r="A9" s="401">
        <v>24170000</v>
      </c>
      <c r="B9" s="656" t="s">
        <v>1308</v>
      </c>
      <c r="C9" s="656"/>
      <c r="D9" s="656"/>
      <c r="E9" s="656"/>
      <c r="F9" s="656"/>
      <c r="G9" s="656"/>
      <c r="H9" s="656"/>
      <c r="I9" s="123">
        <f>SUM(N9:Y9)</f>
        <v>2000000</v>
      </c>
      <c r="J9" s="123"/>
      <c r="K9" s="169"/>
      <c r="L9" s="123"/>
      <c r="M9" s="123"/>
      <c r="N9" s="407"/>
      <c r="O9" s="407"/>
      <c r="P9" s="407"/>
      <c r="Q9" s="407">
        <v>483265.1</v>
      </c>
      <c r="R9" s="407">
        <v>189591</v>
      </c>
      <c r="S9" s="407">
        <v>189591</v>
      </c>
      <c r="T9" s="407">
        <v>189591</v>
      </c>
      <c r="U9" s="407">
        <v>189591</v>
      </c>
      <c r="V9" s="407">
        <v>189591</v>
      </c>
      <c r="W9" s="407">
        <v>189591</v>
      </c>
      <c r="X9" s="407">
        <v>189591</v>
      </c>
      <c r="Y9" s="407">
        <v>189597.9</v>
      </c>
      <c r="Z9" s="407">
        <f>577273.1+394+92000+21249+8533.5+1337+584+212672.81+394+1336+25207+2501+394+33019+275+70+49+100000+75121+90+299+934.35+33852+100000+400+21911+11918.75+1458+1509+21909+100000+44706+11918.75</f>
        <v>1503315.26</v>
      </c>
      <c r="AB9" s="539"/>
    </row>
    <row r="10" spans="1:62" s="459" customFormat="1" ht="18.75" customHeight="1">
      <c r="A10" s="458"/>
      <c r="B10" s="669" t="s">
        <v>590</v>
      </c>
      <c r="C10" s="669"/>
      <c r="D10" s="669"/>
      <c r="E10" s="669"/>
      <c r="F10" s="669"/>
      <c r="G10" s="669"/>
      <c r="H10" s="669"/>
      <c r="I10" s="132">
        <f>SUM(I5:I9)</f>
        <v>102070321.45</v>
      </c>
      <c r="J10" s="132"/>
      <c r="K10" s="132"/>
      <c r="L10" s="132"/>
      <c r="M10" s="132"/>
      <c r="N10" s="489">
        <f>SUM(N5:N9)</f>
        <v>7479600</v>
      </c>
      <c r="O10" s="489">
        <f aca="true" t="shared" si="0" ref="O10:Z10">SUM(O5:O9)</f>
        <v>8040000</v>
      </c>
      <c r="P10" s="489">
        <f t="shared" si="0"/>
        <v>3093000</v>
      </c>
      <c r="Q10" s="489">
        <f t="shared" si="0"/>
        <v>10010765.1</v>
      </c>
      <c r="R10" s="489">
        <f t="shared" si="0"/>
        <v>8471991</v>
      </c>
      <c r="S10" s="489">
        <f t="shared" si="0"/>
        <v>4578791</v>
      </c>
      <c r="T10" s="489">
        <f t="shared" si="0"/>
        <v>9788491</v>
      </c>
      <c r="U10" s="489">
        <f t="shared" si="0"/>
        <v>10711091</v>
      </c>
      <c r="V10" s="489">
        <f t="shared" si="0"/>
        <v>5585862.23</v>
      </c>
      <c r="W10" s="489">
        <f t="shared" si="0"/>
        <v>11633813.15</v>
      </c>
      <c r="X10" s="489">
        <f t="shared" si="0"/>
        <v>13575091</v>
      </c>
      <c r="Y10" s="489">
        <f t="shared" si="0"/>
        <v>9101825.97</v>
      </c>
      <c r="Z10" s="489">
        <f t="shared" si="0"/>
        <v>85780739.38</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row>
    <row r="11" spans="1:26" s="45" customFormat="1" ht="18.75" customHeight="1">
      <c r="A11" s="400">
        <v>208400</v>
      </c>
      <c r="B11" s="670" t="s">
        <v>847</v>
      </c>
      <c r="C11" s="670"/>
      <c r="D11" s="670"/>
      <c r="E11" s="670"/>
      <c r="F11" s="670"/>
      <c r="G11" s="670"/>
      <c r="H11" s="670"/>
      <c r="I11" s="169">
        <f>SUM(N11:Y11)</f>
        <v>312069.9</v>
      </c>
      <c r="J11" s="169"/>
      <c r="K11" s="169"/>
      <c r="L11" s="169"/>
      <c r="M11" s="169"/>
      <c r="N11" s="407"/>
      <c r="O11" s="407"/>
      <c r="P11" s="407">
        <f>P665</f>
        <v>51429</v>
      </c>
      <c r="Q11" s="407">
        <f aca="true" t="shared" si="1" ref="Q11:W11">Q665</f>
        <v>36895</v>
      </c>
      <c r="R11" s="407">
        <f t="shared" si="1"/>
        <v>10000</v>
      </c>
      <c r="S11" s="407">
        <f t="shared" si="1"/>
        <v>50000</v>
      </c>
      <c r="T11" s="407">
        <f t="shared" si="1"/>
        <v>70000</v>
      </c>
      <c r="U11" s="407">
        <f t="shared" si="1"/>
        <v>50038</v>
      </c>
      <c r="V11" s="407">
        <f t="shared" si="1"/>
        <v>26000</v>
      </c>
      <c r="W11" s="407">
        <f t="shared" si="1"/>
        <v>7073.9</v>
      </c>
      <c r="X11" s="407">
        <v>10634</v>
      </c>
      <c r="Y11" s="407"/>
      <c r="Z11" s="407">
        <f>51428.9+1584+2376+27107.7+50193.2+31921.4+41564.4+8201.9+22193.2+10203.9</f>
        <v>246774.6</v>
      </c>
    </row>
    <row r="12" spans="1:62" s="459" customFormat="1" ht="18.75" customHeight="1">
      <c r="A12" s="458"/>
      <c r="B12" s="669" t="s">
        <v>846</v>
      </c>
      <c r="C12" s="669"/>
      <c r="D12" s="669"/>
      <c r="E12" s="669"/>
      <c r="F12" s="669"/>
      <c r="G12" s="669"/>
      <c r="H12" s="669"/>
      <c r="I12" s="132">
        <f>I11+I10</f>
        <v>102382391.35</v>
      </c>
      <c r="J12" s="132"/>
      <c r="K12" s="132"/>
      <c r="L12" s="132"/>
      <c r="M12" s="132"/>
      <c r="N12" s="489">
        <f>N11+N10</f>
        <v>7479600</v>
      </c>
      <c r="O12" s="489">
        <f aca="true" t="shared" si="2" ref="O12:Z12">O11+O10</f>
        <v>8040000</v>
      </c>
      <c r="P12" s="489">
        <f t="shared" si="2"/>
        <v>3144429</v>
      </c>
      <c r="Q12" s="489">
        <f t="shared" si="2"/>
        <v>10047660.1</v>
      </c>
      <c r="R12" s="489">
        <f t="shared" si="2"/>
        <v>8481991</v>
      </c>
      <c r="S12" s="489">
        <f t="shared" si="2"/>
        <v>4628791</v>
      </c>
      <c r="T12" s="489">
        <f t="shared" si="2"/>
        <v>9858491</v>
      </c>
      <c r="U12" s="489">
        <f t="shared" si="2"/>
        <v>10761129</v>
      </c>
      <c r="V12" s="489">
        <f t="shared" si="2"/>
        <v>5611862.23</v>
      </c>
      <c r="W12" s="489">
        <f t="shared" si="2"/>
        <v>11640887.05</v>
      </c>
      <c r="X12" s="489">
        <f t="shared" si="2"/>
        <v>13585725</v>
      </c>
      <c r="Y12" s="489">
        <f t="shared" si="2"/>
        <v>9101825.97</v>
      </c>
      <c r="Z12" s="489">
        <f t="shared" si="2"/>
        <v>86027513.98</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row>
    <row r="13" spans="1:47" ht="18.75">
      <c r="A13" s="442"/>
      <c r="B13" s="658" t="s">
        <v>848</v>
      </c>
      <c r="C13" s="658"/>
      <c r="D13" s="658"/>
      <c r="E13" s="658"/>
      <c r="F13" s="658"/>
      <c r="G13" s="658"/>
      <c r="H13" s="658"/>
      <c r="I13" s="482">
        <v>103425334.14</v>
      </c>
      <c r="J13" s="483"/>
      <c r="K13" s="484"/>
      <c r="L13" s="483"/>
      <c r="M13" s="113"/>
      <c r="N13" s="485"/>
      <c r="O13" s="485"/>
      <c r="P13" s="485"/>
      <c r="Q13" s="485"/>
      <c r="R13" s="485"/>
      <c r="S13" s="485"/>
      <c r="T13" s="485"/>
      <c r="U13" s="485"/>
      <c r="V13" s="485"/>
      <c r="W13" s="485"/>
      <c r="X13" s="485"/>
      <c r="Y13" s="485"/>
      <c r="Z13" s="485"/>
      <c r="AA13" s="452"/>
      <c r="AB13" s="452"/>
      <c r="AC13" s="452"/>
      <c r="AD13" s="452"/>
      <c r="AE13" s="452"/>
      <c r="AF13" s="452"/>
      <c r="AG13" s="452"/>
      <c r="AH13" s="452"/>
      <c r="AI13" s="452"/>
      <c r="AJ13" s="452"/>
      <c r="AK13" s="452"/>
      <c r="AL13" s="452"/>
      <c r="AM13" s="452"/>
      <c r="AN13" s="452"/>
      <c r="AO13" s="452"/>
      <c r="AP13" s="452"/>
      <c r="AQ13" s="452"/>
      <c r="AR13" s="452"/>
      <c r="AS13" s="452"/>
      <c r="AT13" s="452"/>
      <c r="AU13" s="452"/>
    </row>
    <row r="14" spans="1:47" ht="18.75">
      <c r="A14" s="442"/>
      <c r="B14" s="649" t="s">
        <v>49</v>
      </c>
      <c r="C14" s="649"/>
      <c r="D14" s="649"/>
      <c r="E14" s="649"/>
      <c r="F14" s="649"/>
      <c r="G14" s="649"/>
      <c r="H14" s="649"/>
      <c r="I14" s="123">
        <f>I13+Z12-Z1185-1148.08</f>
        <v>124464945.69</v>
      </c>
      <c r="J14" s="486"/>
      <c r="K14" s="487"/>
      <c r="L14" s="486"/>
      <c r="M14" s="488" t="e">
        <f>SUM(#REF!)</f>
        <v>#REF!</v>
      </c>
      <c r="N14" s="488"/>
      <c r="O14" s="488"/>
      <c r="P14" s="488"/>
      <c r="Q14" s="488"/>
      <c r="R14" s="488"/>
      <c r="S14" s="488"/>
      <c r="T14" s="488"/>
      <c r="U14" s="488"/>
      <c r="V14" s="488"/>
      <c r="W14" s="488"/>
      <c r="X14" s="488"/>
      <c r="Y14" s="488"/>
      <c r="Z14" s="485"/>
      <c r="AA14" s="452"/>
      <c r="AB14" s="452"/>
      <c r="AC14" s="452"/>
      <c r="AD14" s="452"/>
      <c r="AE14" s="452"/>
      <c r="AF14" s="452"/>
      <c r="AG14" s="452"/>
      <c r="AH14" s="452"/>
      <c r="AI14" s="452"/>
      <c r="AJ14" s="452"/>
      <c r="AK14" s="452"/>
      <c r="AL14" s="452"/>
      <c r="AM14" s="452"/>
      <c r="AN14" s="452"/>
      <c r="AO14" s="452"/>
      <c r="AP14" s="452"/>
      <c r="AQ14" s="452"/>
      <c r="AR14" s="452"/>
      <c r="AS14" s="452"/>
      <c r="AT14" s="452"/>
      <c r="AU14" s="452"/>
    </row>
    <row r="15" spans="1:26" ht="18.75">
      <c r="A15" s="444"/>
      <c r="B15" s="444"/>
      <c r="C15" s="445"/>
      <c r="D15" s="446"/>
      <c r="E15" s="444"/>
      <c r="F15" s="444"/>
      <c r="G15" s="444"/>
      <c r="H15" s="447"/>
      <c r="I15" s="448"/>
      <c r="J15" s="449"/>
      <c r="K15" s="450"/>
      <c r="L15" s="449"/>
      <c r="M15" s="451"/>
      <c r="N15" s="451"/>
      <c r="O15" s="451"/>
      <c r="P15" s="451"/>
      <c r="Q15" s="451"/>
      <c r="R15" s="451"/>
      <c r="S15" s="451"/>
      <c r="T15" s="451"/>
      <c r="U15" s="451"/>
      <c r="V15" s="451"/>
      <c r="W15" s="451"/>
      <c r="X15" s="451"/>
      <c r="Y15" s="451"/>
      <c r="Z15" s="452"/>
    </row>
    <row r="16" spans="1:62" s="24" customFormat="1" ht="64.5" customHeight="1">
      <c r="A16" s="118" t="s">
        <v>1965</v>
      </c>
      <c r="B16" s="118" t="s">
        <v>1966</v>
      </c>
      <c r="C16" s="634" t="s">
        <v>515</v>
      </c>
      <c r="D16" s="655" t="s">
        <v>1967</v>
      </c>
      <c r="E16" s="635" t="s">
        <v>934</v>
      </c>
      <c r="F16" s="635" t="s">
        <v>1227</v>
      </c>
      <c r="G16" s="635" t="s">
        <v>954</v>
      </c>
      <c r="H16" s="663" t="s">
        <v>79</v>
      </c>
      <c r="I16" s="671" t="s">
        <v>955</v>
      </c>
      <c r="J16" s="637" t="s">
        <v>956</v>
      </c>
      <c r="K16" s="637"/>
      <c r="L16" s="637"/>
      <c r="M16" s="637"/>
      <c r="N16" s="651" t="s">
        <v>574</v>
      </c>
      <c r="O16" s="652"/>
      <c r="P16" s="652"/>
      <c r="Q16" s="652"/>
      <c r="R16" s="652"/>
      <c r="S16" s="652"/>
      <c r="T16" s="652"/>
      <c r="U16" s="652"/>
      <c r="V16" s="652"/>
      <c r="W16" s="652"/>
      <c r="X16" s="652"/>
      <c r="Y16" s="653"/>
      <c r="Z16" s="650" t="s">
        <v>50</v>
      </c>
      <c r="AA16" s="650" t="s">
        <v>1403</v>
      </c>
      <c r="AB16" s="40"/>
      <c r="AC16" s="680"/>
      <c r="AD16" s="682" t="s">
        <v>955</v>
      </c>
      <c r="AE16" s="682" t="s">
        <v>1107</v>
      </c>
      <c r="AF16" s="682" t="s">
        <v>1108</v>
      </c>
      <c r="AG16" s="682" t="s">
        <v>1109</v>
      </c>
      <c r="AH16" s="682" t="s">
        <v>1110</v>
      </c>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row>
    <row r="17" spans="1:62" s="24" customFormat="1" ht="47.25" customHeight="1">
      <c r="A17" s="120" t="s">
        <v>957</v>
      </c>
      <c r="B17" s="118" t="s">
        <v>1440</v>
      </c>
      <c r="C17" s="634"/>
      <c r="D17" s="655"/>
      <c r="E17" s="635"/>
      <c r="F17" s="635"/>
      <c r="G17" s="635"/>
      <c r="H17" s="663"/>
      <c r="I17" s="671"/>
      <c r="J17" s="121" t="s">
        <v>958</v>
      </c>
      <c r="K17" s="389" t="s">
        <v>960</v>
      </c>
      <c r="L17" s="123" t="s">
        <v>961</v>
      </c>
      <c r="M17" s="124" t="s">
        <v>962</v>
      </c>
      <c r="N17" s="402" t="s">
        <v>1309</v>
      </c>
      <c r="O17" s="403" t="s">
        <v>1310</v>
      </c>
      <c r="P17" s="404" t="s">
        <v>1311</v>
      </c>
      <c r="Q17" s="404" t="s">
        <v>1312</v>
      </c>
      <c r="R17" s="404" t="s">
        <v>1313</v>
      </c>
      <c r="S17" s="404" t="s">
        <v>1314</v>
      </c>
      <c r="T17" s="404" t="s">
        <v>1315</v>
      </c>
      <c r="U17" s="404" t="s">
        <v>1316</v>
      </c>
      <c r="V17" s="404" t="s">
        <v>1317</v>
      </c>
      <c r="W17" s="404" t="s">
        <v>1318</v>
      </c>
      <c r="X17" s="404" t="s">
        <v>1331</v>
      </c>
      <c r="Y17" s="404" t="s">
        <v>1332</v>
      </c>
      <c r="Z17" s="650"/>
      <c r="AA17" s="650"/>
      <c r="AB17" s="40"/>
      <c r="AC17" s="681"/>
      <c r="AD17" s="683"/>
      <c r="AE17" s="683"/>
      <c r="AF17" s="683"/>
      <c r="AG17" s="683"/>
      <c r="AH17" s="683"/>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row>
    <row r="18" spans="1:62" s="24" customFormat="1" ht="15.75">
      <c r="A18" s="453">
        <v>1</v>
      </c>
      <c r="B18" s="453">
        <v>2</v>
      </c>
      <c r="C18" s="454">
        <v>3</v>
      </c>
      <c r="D18" s="455">
        <v>3</v>
      </c>
      <c r="E18" s="453">
        <v>5</v>
      </c>
      <c r="F18" s="453">
        <v>6</v>
      </c>
      <c r="G18" s="453">
        <v>7</v>
      </c>
      <c r="H18" s="456"/>
      <c r="I18" s="437">
        <v>4</v>
      </c>
      <c r="J18" s="456">
        <v>5</v>
      </c>
      <c r="K18" s="457">
        <v>9</v>
      </c>
      <c r="L18" s="456">
        <v>6</v>
      </c>
      <c r="M18" s="456">
        <v>7</v>
      </c>
      <c r="N18" s="443"/>
      <c r="O18" s="443"/>
      <c r="P18" s="443"/>
      <c r="Q18" s="443"/>
      <c r="R18" s="443"/>
      <c r="S18" s="443"/>
      <c r="T18" s="443"/>
      <c r="U18" s="443"/>
      <c r="V18" s="443"/>
      <c r="W18" s="443"/>
      <c r="X18" s="443"/>
      <c r="Y18" s="443"/>
      <c r="Z18" s="405"/>
      <c r="AA18" s="405"/>
      <c r="AB18" s="40"/>
      <c r="AC18" s="498"/>
      <c r="AD18" s="512"/>
      <c r="AE18" s="507"/>
      <c r="AF18" s="507"/>
      <c r="AG18" s="507"/>
      <c r="AH18" s="507"/>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row>
    <row r="19" spans="1:62" s="26" customFormat="1" ht="15.75" customHeight="1">
      <c r="A19" s="129" t="s">
        <v>1441</v>
      </c>
      <c r="B19" s="623" t="s">
        <v>965</v>
      </c>
      <c r="C19" s="623"/>
      <c r="D19" s="623"/>
      <c r="E19" s="130"/>
      <c r="F19" s="131"/>
      <c r="G19" s="130"/>
      <c r="H19" s="415"/>
      <c r="I19" s="132">
        <f>I20+I58+I67+I65</f>
        <v>972670.69</v>
      </c>
      <c r="J19" s="132">
        <f aca="true" t="shared" si="3" ref="J19:Z19">J20+J58+J67+J65</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36504</v>
      </c>
      <c r="U19" s="132">
        <f t="shared" si="3"/>
        <v>-7840</v>
      </c>
      <c r="V19" s="132">
        <f t="shared" si="3"/>
        <v>294000</v>
      </c>
      <c r="W19" s="132">
        <f t="shared" si="3"/>
        <v>200000</v>
      </c>
      <c r="X19" s="132">
        <f t="shared" si="3"/>
        <v>163904</v>
      </c>
      <c r="Y19" s="132">
        <f t="shared" si="3"/>
        <v>496</v>
      </c>
      <c r="Z19" s="132">
        <f t="shared" si="3"/>
        <v>446810.78</v>
      </c>
      <c r="AA19" s="407">
        <f>N19+O19+P19+Q19+R19+S19+T19+U19+V19+W19+X19-Z19</f>
        <v>525363.91</v>
      </c>
      <c r="AB19" s="45"/>
      <c r="AC19" s="499"/>
      <c r="AD19" s="513"/>
      <c r="AE19" s="508"/>
      <c r="AF19" s="508"/>
      <c r="AG19" s="508"/>
      <c r="AH19" s="508"/>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row>
    <row r="20" spans="1:62" s="28" customFormat="1" ht="18" customHeight="1">
      <c r="A20" s="585" t="s">
        <v>1756</v>
      </c>
      <c r="B20" s="586" t="s">
        <v>966</v>
      </c>
      <c r="C20" s="135"/>
      <c r="D20" s="136" t="s">
        <v>1456</v>
      </c>
      <c r="E20" s="137"/>
      <c r="F20" s="138"/>
      <c r="G20" s="137"/>
      <c r="H20" s="416"/>
      <c r="I20" s="139">
        <f>SUM(I22:I45)</f>
        <v>661670.69</v>
      </c>
      <c r="J20" s="139">
        <f aca="true" t="shared" si="4" ref="J20:Z20">SUM(J21:J54)</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36504</v>
      </c>
      <c r="U20" s="139">
        <f t="shared" si="4"/>
        <v>0</v>
      </c>
      <c r="V20" s="139">
        <f t="shared" si="4"/>
        <v>0</v>
      </c>
      <c r="W20" s="139">
        <f t="shared" si="4"/>
        <v>200000</v>
      </c>
      <c r="X20" s="139">
        <f t="shared" si="4"/>
        <v>163904</v>
      </c>
      <c r="Y20" s="139">
        <f t="shared" si="4"/>
        <v>496</v>
      </c>
      <c r="Z20" s="139">
        <f t="shared" si="4"/>
        <v>429810.78</v>
      </c>
      <c r="AA20" s="407">
        <f aca="true" t="shared" si="5" ref="AA20:AA89">N20+O20+P20+Q20+R20+S20+T20+U20+V20+W20+X20-Z20</f>
        <v>231363.91</v>
      </c>
      <c r="AB20" s="30"/>
      <c r="AC20" s="59"/>
      <c r="AD20" s="514"/>
      <c r="AE20" s="509"/>
      <c r="AF20" s="509"/>
      <c r="AG20" s="509"/>
      <c r="AH20" s="509"/>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row>
    <row r="21" spans="1:34" s="30" customFormat="1" ht="15.75" hidden="1">
      <c r="A21" s="585"/>
      <c r="B21" s="586"/>
      <c r="C21" s="135" t="s">
        <v>1457</v>
      </c>
      <c r="D21" s="141" t="s">
        <v>1812</v>
      </c>
      <c r="E21" s="142"/>
      <c r="F21" s="143"/>
      <c r="G21" s="142"/>
      <c r="H21" s="417"/>
      <c r="I21" s="144" t="e">
        <f>J21+K21+L21+M21+#REF!+#REF!</f>
        <v>#REF!</v>
      </c>
      <c r="J21" s="144"/>
      <c r="K21" s="144"/>
      <c r="L21" s="144"/>
      <c r="M21" s="144"/>
      <c r="N21" s="407"/>
      <c r="O21" s="439"/>
      <c r="P21" s="439"/>
      <c r="Q21" s="439"/>
      <c r="R21" s="439"/>
      <c r="S21" s="439"/>
      <c r="T21" s="439"/>
      <c r="U21" s="439"/>
      <c r="V21" s="439"/>
      <c r="W21" s="439"/>
      <c r="X21" s="439"/>
      <c r="Y21" s="439"/>
      <c r="Z21" s="439"/>
      <c r="AA21" s="407">
        <f t="shared" si="5"/>
        <v>0</v>
      </c>
      <c r="AC21" s="59"/>
      <c r="AD21" s="514"/>
      <c r="AE21" s="509"/>
      <c r="AF21" s="509"/>
      <c r="AG21" s="509"/>
      <c r="AH21" s="509"/>
    </row>
    <row r="22" spans="1:34" s="30" customFormat="1" ht="31.5">
      <c r="A22" s="585"/>
      <c r="B22" s="586"/>
      <c r="C22" s="135" t="s">
        <v>1813</v>
      </c>
      <c r="D22" s="141" t="s">
        <v>1814</v>
      </c>
      <c r="E22" s="142">
        <v>136</v>
      </c>
      <c r="F22" s="143">
        <f>100%-((E22-G22)/E22)</f>
        <v>1</v>
      </c>
      <c r="G22" s="142">
        <v>136</v>
      </c>
      <c r="H22" s="417">
        <v>3132</v>
      </c>
      <c r="I22" s="144">
        <v>50441.66</v>
      </c>
      <c r="J22" s="144"/>
      <c r="K22" s="144"/>
      <c r="L22" s="144">
        <v>50441.66</v>
      </c>
      <c r="M22" s="144"/>
      <c r="N22" s="407"/>
      <c r="O22" s="144">
        <v>50441.66</v>
      </c>
      <c r="P22" s="439"/>
      <c r="Q22" s="439"/>
      <c r="R22" s="439"/>
      <c r="S22" s="439"/>
      <c r="T22" s="439"/>
      <c r="U22" s="439"/>
      <c r="V22" s="439"/>
      <c r="W22" s="439"/>
      <c r="X22" s="439"/>
      <c r="Y22" s="439"/>
      <c r="Z22" s="144">
        <v>50441.66</v>
      </c>
      <c r="AA22" s="407">
        <f t="shared" si="5"/>
        <v>0</v>
      </c>
      <c r="AC22" s="59"/>
      <c r="AD22" s="514"/>
      <c r="AE22" s="509"/>
      <c r="AF22" s="509"/>
      <c r="AG22" s="509"/>
      <c r="AH22" s="509"/>
    </row>
    <row r="23" spans="1:34" s="30" customFormat="1" ht="31.5" hidden="1">
      <c r="A23" s="585"/>
      <c r="B23" s="586"/>
      <c r="C23" s="135" t="s">
        <v>1815</v>
      </c>
      <c r="D23" s="141" t="s">
        <v>1816</v>
      </c>
      <c r="E23" s="142"/>
      <c r="F23" s="143"/>
      <c r="G23" s="142"/>
      <c r="H23" s="417"/>
      <c r="I23" s="144">
        <v>0</v>
      </c>
      <c r="J23" s="144"/>
      <c r="K23" s="144"/>
      <c r="L23" s="144"/>
      <c r="M23" s="144"/>
      <c r="N23" s="407"/>
      <c r="O23" s="144">
        <v>0</v>
      </c>
      <c r="P23" s="439"/>
      <c r="Q23" s="439"/>
      <c r="R23" s="439"/>
      <c r="S23" s="439"/>
      <c r="T23" s="439"/>
      <c r="U23" s="439"/>
      <c r="V23" s="439"/>
      <c r="W23" s="439"/>
      <c r="X23" s="439"/>
      <c r="Y23" s="439"/>
      <c r="Z23" s="144">
        <v>0</v>
      </c>
      <c r="AA23" s="407">
        <f t="shared" si="5"/>
        <v>0</v>
      </c>
      <c r="AC23" s="59"/>
      <c r="AD23" s="514"/>
      <c r="AE23" s="509"/>
      <c r="AF23" s="509"/>
      <c r="AG23" s="509"/>
      <c r="AH23" s="509"/>
    </row>
    <row r="24" spans="1:34" s="30" customFormat="1" ht="31.5" hidden="1">
      <c r="A24" s="585"/>
      <c r="B24" s="586"/>
      <c r="C24" s="135" t="s">
        <v>1817</v>
      </c>
      <c r="D24" s="141" t="s">
        <v>1610</v>
      </c>
      <c r="E24" s="142"/>
      <c r="F24" s="143"/>
      <c r="G24" s="142"/>
      <c r="H24" s="417"/>
      <c r="I24" s="144">
        <v>0</v>
      </c>
      <c r="J24" s="144"/>
      <c r="K24" s="144"/>
      <c r="L24" s="144"/>
      <c r="M24" s="144"/>
      <c r="N24" s="407"/>
      <c r="O24" s="144">
        <v>0</v>
      </c>
      <c r="P24" s="439"/>
      <c r="Q24" s="439"/>
      <c r="R24" s="439"/>
      <c r="S24" s="439"/>
      <c r="T24" s="439"/>
      <c r="U24" s="439"/>
      <c r="V24" s="439"/>
      <c r="W24" s="439"/>
      <c r="X24" s="439"/>
      <c r="Y24" s="439"/>
      <c r="Z24" s="144">
        <v>0</v>
      </c>
      <c r="AA24" s="407">
        <f t="shared" si="5"/>
        <v>0</v>
      </c>
      <c r="AC24" s="59"/>
      <c r="AD24" s="514"/>
      <c r="AE24" s="509"/>
      <c r="AF24" s="509"/>
      <c r="AG24" s="509"/>
      <c r="AH24" s="509"/>
    </row>
    <row r="25" spans="1:34" s="30" customFormat="1" ht="47.25" hidden="1">
      <c r="A25" s="585"/>
      <c r="B25" s="586"/>
      <c r="C25" s="135" t="s">
        <v>1611</v>
      </c>
      <c r="D25" s="141" t="s">
        <v>2017</v>
      </c>
      <c r="E25" s="142"/>
      <c r="F25" s="143"/>
      <c r="G25" s="142"/>
      <c r="H25" s="417"/>
      <c r="I25" s="144">
        <v>0</v>
      </c>
      <c r="J25" s="144"/>
      <c r="K25" s="144"/>
      <c r="L25" s="144"/>
      <c r="M25" s="144"/>
      <c r="N25" s="407"/>
      <c r="O25" s="144">
        <v>0</v>
      </c>
      <c r="P25" s="439"/>
      <c r="Q25" s="439"/>
      <c r="R25" s="439"/>
      <c r="S25" s="439"/>
      <c r="T25" s="439"/>
      <c r="U25" s="439"/>
      <c r="V25" s="439"/>
      <c r="W25" s="439"/>
      <c r="X25" s="439"/>
      <c r="Y25" s="439"/>
      <c r="Z25" s="144">
        <v>0</v>
      </c>
      <c r="AA25" s="407">
        <f t="shared" si="5"/>
        <v>0</v>
      </c>
      <c r="AC25" s="59"/>
      <c r="AD25" s="514"/>
      <c r="AE25" s="509"/>
      <c r="AF25" s="509"/>
      <c r="AG25" s="509"/>
      <c r="AH25" s="509"/>
    </row>
    <row r="26" spans="1:34" s="30" customFormat="1" ht="15.75" hidden="1">
      <c r="A26" s="585"/>
      <c r="B26" s="586"/>
      <c r="C26" s="135" t="s">
        <v>2018</v>
      </c>
      <c r="D26" s="141" t="s">
        <v>2019</v>
      </c>
      <c r="E26" s="142"/>
      <c r="F26" s="143"/>
      <c r="G26" s="142"/>
      <c r="H26" s="417"/>
      <c r="I26" s="144">
        <v>0</v>
      </c>
      <c r="J26" s="144"/>
      <c r="K26" s="144"/>
      <c r="L26" s="144"/>
      <c r="M26" s="144"/>
      <c r="N26" s="407"/>
      <c r="O26" s="144">
        <v>0</v>
      </c>
      <c r="P26" s="439"/>
      <c r="Q26" s="439"/>
      <c r="R26" s="439"/>
      <c r="S26" s="439"/>
      <c r="T26" s="439"/>
      <c r="U26" s="439"/>
      <c r="V26" s="439"/>
      <c r="W26" s="439"/>
      <c r="X26" s="439"/>
      <c r="Y26" s="439"/>
      <c r="Z26" s="144">
        <v>0</v>
      </c>
      <c r="AA26" s="407">
        <f t="shared" si="5"/>
        <v>0</v>
      </c>
      <c r="AC26" s="59"/>
      <c r="AD26" s="514"/>
      <c r="AE26" s="509"/>
      <c r="AF26" s="509"/>
      <c r="AG26" s="509"/>
      <c r="AH26" s="509"/>
    </row>
    <row r="27" spans="1:34" s="30" customFormat="1" ht="31.5" hidden="1">
      <c r="A27" s="585"/>
      <c r="B27" s="586"/>
      <c r="C27" s="135" t="s">
        <v>2020</v>
      </c>
      <c r="D27" s="141" t="s">
        <v>131</v>
      </c>
      <c r="E27" s="142"/>
      <c r="F27" s="143"/>
      <c r="G27" s="142"/>
      <c r="H27" s="417"/>
      <c r="I27" s="144">
        <v>0</v>
      </c>
      <c r="J27" s="144"/>
      <c r="K27" s="144"/>
      <c r="L27" s="144"/>
      <c r="M27" s="144"/>
      <c r="N27" s="407"/>
      <c r="O27" s="144">
        <v>0</v>
      </c>
      <c r="P27" s="439"/>
      <c r="Q27" s="439"/>
      <c r="R27" s="439"/>
      <c r="S27" s="439"/>
      <c r="T27" s="439"/>
      <c r="U27" s="439"/>
      <c r="V27" s="439"/>
      <c r="W27" s="439"/>
      <c r="X27" s="439"/>
      <c r="Y27" s="439"/>
      <c r="Z27" s="144">
        <v>0</v>
      </c>
      <c r="AA27" s="407">
        <f t="shared" si="5"/>
        <v>0</v>
      </c>
      <c r="AC27" s="59"/>
      <c r="AD27" s="514"/>
      <c r="AE27" s="509"/>
      <c r="AF27" s="509"/>
      <c r="AG27" s="509"/>
      <c r="AH27" s="509"/>
    </row>
    <row r="28" spans="1:34" s="30" customFormat="1" ht="31.5">
      <c r="A28" s="585"/>
      <c r="B28" s="586"/>
      <c r="C28" s="135"/>
      <c r="D28" s="141" t="s">
        <v>1524</v>
      </c>
      <c r="E28" s="142"/>
      <c r="F28" s="143"/>
      <c r="G28" s="142"/>
      <c r="H28" s="417">
        <v>3132</v>
      </c>
      <c r="I28" s="144">
        <v>200000</v>
      </c>
      <c r="J28" s="144"/>
      <c r="K28" s="144"/>
      <c r="L28" s="144"/>
      <c r="M28" s="144"/>
      <c r="N28" s="407"/>
      <c r="O28" s="144"/>
      <c r="P28" s="439"/>
      <c r="Q28" s="439"/>
      <c r="R28" s="439"/>
      <c r="S28" s="439"/>
      <c r="T28" s="439"/>
      <c r="U28" s="439"/>
      <c r="V28" s="439"/>
      <c r="W28" s="439">
        <v>200000</v>
      </c>
      <c r="X28" s="439"/>
      <c r="Y28" s="439"/>
      <c r="Z28" s="144"/>
      <c r="AA28" s="407">
        <f t="shared" si="5"/>
        <v>200000</v>
      </c>
      <c r="AC28" s="59"/>
      <c r="AD28" s="514"/>
      <c r="AE28" s="509"/>
      <c r="AF28" s="509"/>
      <c r="AG28" s="509"/>
      <c r="AH28" s="509"/>
    </row>
    <row r="29" spans="1:34" s="30" customFormat="1" ht="31.5">
      <c r="A29" s="585"/>
      <c r="B29" s="586"/>
      <c r="C29" s="135"/>
      <c r="D29" s="141" t="s">
        <v>2118</v>
      </c>
      <c r="E29" s="142"/>
      <c r="F29" s="143"/>
      <c r="G29" s="142"/>
      <c r="H29" s="417">
        <v>3132</v>
      </c>
      <c r="I29" s="144">
        <v>144400</v>
      </c>
      <c r="J29" s="144"/>
      <c r="K29" s="144"/>
      <c r="L29" s="144"/>
      <c r="M29" s="144"/>
      <c r="N29" s="407"/>
      <c r="O29" s="144"/>
      <c r="P29" s="439"/>
      <c r="Q29" s="439"/>
      <c r="R29" s="439"/>
      <c r="S29" s="439"/>
      <c r="T29" s="439"/>
      <c r="U29" s="439"/>
      <c r="V29" s="439"/>
      <c r="W29" s="439"/>
      <c r="X29" s="439">
        <v>144400</v>
      </c>
      <c r="Y29" s="439"/>
      <c r="Z29" s="144">
        <v>144399.6</v>
      </c>
      <c r="AA29" s="407">
        <f t="shared" si="5"/>
        <v>0.4</v>
      </c>
      <c r="AC29" s="59"/>
      <c r="AD29" s="514"/>
      <c r="AE29" s="509"/>
      <c r="AF29" s="509"/>
      <c r="AG29" s="509"/>
      <c r="AH29" s="509"/>
    </row>
    <row r="30" spans="1:34" s="30" customFormat="1" ht="47.25">
      <c r="A30" s="585"/>
      <c r="B30" s="586"/>
      <c r="C30" s="148" t="s">
        <v>330</v>
      </c>
      <c r="D30" s="141" t="s">
        <v>2075</v>
      </c>
      <c r="E30" s="142"/>
      <c r="F30" s="143"/>
      <c r="G30" s="142"/>
      <c r="H30" s="417">
        <v>3110</v>
      </c>
      <c r="I30" s="144">
        <f>39994.08-9907.27</f>
        <v>30086.81</v>
      </c>
      <c r="J30" s="144"/>
      <c r="K30" s="144"/>
      <c r="L30" s="144">
        <v>39994.08</v>
      </c>
      <c r="M30" s="144"/>
      <c r="N30" s="407"/>
      <c r="O30" s="144">
        <v>39994.08</v>
      </c>
      <c r="P30" s="439"/>
      <c r="Q30" s="439"/>
      <c r="R30" s="439"/>
      <c r="S30" s="439"/>
      <c r="T30" s="439"/>
      <c r="U30" s="439"/>
      <c r="V30" s="439"/>
      <c r="W30" s="439">
        <v>-9907.27</v>
      </c>
      <c r="X30" s="439"/>
      <c r="Y30" s="439"/>
      <c r="Z30" s="144">
        <f>39994.08-39994.08</f>
        <v>0</v>
      </c>
      <c r="AA30" s="407">
        <f t="shared" si="5"/>
        <v>30086.81</v>
      </c>
      <c r="AC30" s="59"/>
      <c r="AD30" s="514"/>
      <c r="AE30" s="509"/>
      <c r="AF30" s="509"/>
      <c r="AG30" s="509"/>
      <c r="AH30" s="509"/>
    </row>
    <row r="31" spans="1:34" s="30" customFormat="1" ht="15.75" hidden="1">
      <c r="A31" s="585"/>
      <c r="B31" s="586"/>
      <c r="C31" s="148" t="s">
        <v>2076</v>
      </c>
      <c r="D31" s="141" t="s">
        <v>1438</v>
      </c>
      <c r="E31" s="142"/>
      <c r="F31" s="143"/>
      <c r="G31" s="142"/>
      <c r="H31" s="417"/>
      <c r="I31" s="144">
        <v>0</v>
      </c>
      <c r="J31" s="144"/>
      <c r="K31" s="144"/>
      <c r="L31" s="144"/>
      <c r="M31" s="144"/>
      <c r="N31" s="407"/>
      <c r="O31" s="144">
        <v>0</v>
      </c>
      <c r="P31" s="439"/>
      <c r="Q31" s="439"/>
      <c r="R31" s="439"/>
      <c r="S31" s="439"/>
      <c r="T31" s="439"/>
      <c r="U31" s="439"/>
      <c r="V31" s="439"/>
      <c r="W31" s="439"/>
      <c r="X31" s="439"/>
      <c r="Y31" s="439"/>
      <c r="Z31" s="144">
        <v>0</v>
      </c>
      <c r="AA31" s="407">
        <f t="shared" si="5"/>
        <v>0</v>
      </c>
      <c r="AC31" s="59"/>
      <c r="AD31" s="514"/>
      <c r="AE31" s="509"/>
      <c r="AF31" s="509"/>
      <c r="AG31" s="509"/>
      <c r="AH31" s="509"/>
    </row>
    <row r="32" spans="1:34" s="30" customFormat="1" ht="31.5" hidden="1">
      <c r="A32" s="585"/>
      <c r="B32" s="586"/>
      <c r="C32" s="148" t="s">
        <v>1439</v>
      </c>
      <c r="D32" s="141" t="s">
        <v>1334</v>
      </c>
      <c r="E32" s="142"/>
      <c r="F32" s="143"/>
      <c r="G32" s="142"/>
      <c r="H32" s="417"/>
      <c r="I32" s="144">
        <v>0</v>
      </c>
      <c r="J32" s="144"/>
      <c r="K32" s="144"/>
      <c r="L32" s="144"/>
      <c r="M32" s="144"/>
      <c r="N32" s="407"/>
      <c r="O32" s="144">
        <v>0</v>
      </c>
      <c r="P32" s="439"/>
      <c r="Q32" s="439"/>
      <c r="R32" s="439"/>
      <c r="S32" s="439"/>
      <c r="T32" s="439"/>
      <c r="U32" s="439"/>
      <c r="V32" s="439"/>
      <c r="W32" s="439"/>
      <c r="X32" s="439"/>
      <c r="Y32" s="439"/>
      <c r="Z32" s="144">
        <v>0</v>
      </c>
      <c r="AA32" s="407">
        <f t="shared" si="5"/>
        <v>0</v>
      </c>
      <c r="AC32" s="59"/>
      <c r="AD32" s="514"/>
      <c r="AE32" s="509"/>
      <c r="AF32" s="509"/>
      <c r="AG32" s="509"/>
      <c r="AH32" s="509"/>
    </row>
    <row r="33" spans="1:34" s="30" customFormat="1" ht="31.5">
      <c r="A33" s="585"/>
      <c r="B33" s="586"/>
      <c r="C33" s="148" t="s">
        <v>1335</v>
      </c>
      <c r="D33" s="141" t="s">
        <v>620</v>
      </c>
      <c r="E33" s="142"/>
      <c r="F33" s="143"/>
      <c r="G33" s="142"/>
      <c r="H33" s="417">
        <v>3110</v>
      </c>
      <c r="I33" s="144">
        <v>35400</v>
      </c>
      <c r="J33" s="144"/>
      <c r="K33" s="144"/>
      <c r="L33" s="144">
        <v>35400</v>
      </c>
      <c r="M33" s="144"/>
      <c r="N33" s="407"/>
      <c r="O33" s="144">
        <v>35400</v>
      </c>
      <c r="P33" s="439"/>
      <c r="Q33" s="439"/>
      <c r="R33" s="439"/>
      <c r="S33" s="439"/>
      <c r="T33" s="439"/>
      <c r="U33" s="439"/>
      <c r="V33" s="439"/>
      <c r="W33" s="439"/>
      <c r="X33" s="439"/>
      <c r="Y33" s="439"/>
      <c r="Z33" s="144">
        <v>35400</v>
      </c>
      <c r="AA33" s="407">
        <f t="shared" si="5"/>
        <v>0</v>
      </c>
      <c r="AC33" s="59"/>
      <c r="AD33" s="514"/>
      <c r="AE33" s="509"/>
      <c r="AF33" s="509"/>
      <c r="AG33" s="509"/>
      <c r="AH33" s="509"/>
    </row>
    <row r="34" spans="1:34" s="30" customFormat="1" ht="47.25" hidden="1">
      <c r="A34" s="585"/>
      <c r="B34" s="586"/>
      <c r="C34" s="148" t="s">
        <v>621</v>
      </c>
      <c r="D34" s="141" t="s">
        <v>829</v>
      </c>
      <c r="E34" s="142"/>
      <c r="F34" s="143"/>
      <c r="G34" s="142"/>
      <c r="H34" s="417">
        <v>3110</v>
      </c>
      <c r="I34" s="144">
        <v>0</v>
      </c>
      <c r="J34" s="144"/>
      <c r="K34" s="144"/>
      <c r="L34" s="144"/>
      <c r="M34" s="144"/>
      <c r="N34" s="407"/>
      <c r="O34" s="144">
        <v>0</v>
      </c>
      <c r="P34" s="439"/>
      <c r="Q34" s="439"/>
      <c r="R34" s="439"/>
      <c r="S34" s="439"/>
      <c r="T34" s="439"/>
      <c r="U34" s="439"/>
      <c r="V34" s="439"/>
      <c r="W34" s="439"/>
      <c r="X34" s="439"/>
      <c r="Y34" s="439"/>
      <c r="Z34" s="144">
        <v>0</v>
      </c>
      <c r="AA34" s="407">
        <f t="shared" si="5"/>
        <v>0</v>
      </c>
      <c r="AC34" s="59"/>
      <c r="AD34" s="514"/>
      <c r="AE34" s="509"/>
      <c r="AF34" s="509"/>
      <c r="AG34" s="509"/>
      <c r="AH34" s="509"/>
    </row>
    <row r="35" spans="1:34" s="30" customFormat="1" ht="31.5" hidden="1">
      <c r="A35" s="585"/>
      <c r="B35" s="586"/>
      <c r="C35" s="148" t="s">
        <v>830</v>
      </c>
      <c r="D35" s="141" t="s">
        <v>831</v>
      </c>
      <c r="E35" s="142"/>
      <c r="F35" s="143"/>
      <c r="G35" s="142"/>
      <c r="H35" s="417">
        <v>3110</v>
      </c>
      <c r="I35" s="144">
        <v>0</v>
      </c>
      <c r="J35" s="144"/>
      <c r="K35" s="144"/>
      <c r="L35" s="144"/>
      <c r="M35" s="144"/>
      <c r="N35" s="407"/>
      <c r="O35" s="144">
        <v>0</v>
      </c>
      <c r="P35" s="439"/>
      <c r="Q35" s="439"/>
      <c r="R35" s="439"/>
      <c r="S35" s="439"/>
      <c r="T35" s="439"/>
      <c r="U35" s="439"/>
      <c r="V35" s="439"/>
      <c r="W35" s="439"/>
      <c r="X35" s="439"/>
      <c r="Y35" s="439"/>
      <c r="Z35" s="144">
        <v>0</v>
      </c>
      <c r="AA35" s="407">
        <f t="shared" si="5"/>
        <v>0</v>
      </c>
      <c r="AC35" s="59"/>
      <c r="AD35" s="514"/>
      <c r="AE35" s="509"/>
      <c r="AF35" s="509"/>
      <c r="AG35" s="509"/>
      <c r="AH35" s="509"/>
    </row>
    <row r="36" spans="1:34" s="30" customFormat="1" ht="31.5" hidden="1">
      <c r="A36" s="585"/>
      <c r="B36" s="586"/>
      <c r="C36" s="149" t="s">
        <v>1391</v>
      </c>
      <c r="D36" s="150" t="s">
        <v>1392</v>
      </c>
      <c r="E36" s="151"/>
      <c r="F36" s="152"/>
      <c r="G36" s="151"/>
      <c r="H36" s="417">
        <v>3110</v>
      </c>
      <c r="I36" s="153">
        <v>0</v>
      </c>
      <c r="J36" s="153"/>
      <c r="K36" s="153"/>
      <c r="L36" s="153"/>
      <c r="M36" s="153"/>
      <c r="N36" s="407"/>
      <c r="O36" s="153">
        <v>0</v>
      </c>
      <c r="P36" s="439"/>
      <c r="Q36" s="439"/>
      <c r="R36" s="439"/>
      <c r="S36" s="439"/>
      <c r="T36" s="439"/>
      <c r="U36" s="439"/>
      <c r="V36" s="439"/>
      <c r="W36" s="439"/>
      <c r="X36" s="439"/>
      <c r="Y36" s="439"/>
      <c r="Z36" s="144">
        <v>0</v>
      </c>
      <c r="AA36" s="407">
        <f t="shared" si="5"/>
        <v>0</v>
      </c>
      <c r="AC36" s="59"/>
      <c r="AD36" s="514"/>
      <c r="AE36" s="509"/>
      <c r="AF36" s="509"/>
      <c r="AG36" s="509"/>
      <c r="AH36" s="509"/>
    </row>
    <row r="37" spans="1:34" s="30" customFormat="1" ht="15.75" hidden="1">
      <c r="A37" s="585"/>
      <c r="B37" s="586"/>
      <c r="C37" s="149"/>
      <c r="D37" s="150" t="s">
        <v>1393</v>
      </c>
      <c r="E37" s="151"/>
      <c r="F37" s="152"/>
      <c r="G37" s="151"/>
      <c r="H37" s="417">
        <v>3110</v>
      </c>
      <c r="I37" s="153">
        <v>0</v>
      </c>
      <c r="J37" s="153"/>
      <c r="K37" s="153"/>
      <c r="L37" s="153"/>
      <c r="M37" s="153"/>
      <c r="N37" s="407"/>
      <c r="O37" s="153">
        <v>0</v>
      </c>
      <c r="P37" s="439"/>
      <c r="Q37" s="439"/>
      <c r="R37" s="439"/>
      <c r="S37" s="439"/>
      <c r="T37" s="439"/>
      <c r="U37" s="439"/>
      <c r="V37" s="439"/>
      <c r="W37" s="439"/>
      <c r="X37" s="439"/>
      <c r="Y37" s="439"/>
      <c r="Z37" s="144">
        <v>0</v>
      </c>
      <c r="AA37" s="407">
        <f t="shared" si="5"/>
        <v>0</v>
      </c>
      <c r="AC37" s="59"/>
      <c r="AD37" s="514"/>
      <c r="AE37" s="509"/>
      <c r="AF37" s="509"/>
      <c r="AG37" s="509"/>
      <c r="AH37" s="509"/>
    </row>
    <row r="38" spans="1:34" s="30" customFormat="1" ht="47.25">
      <c r="A38" s="585"/>
      <c r="B38" s="586"/>
      <c r="C38" s="149"/>
      <c r="D38" s="150" t="s">
        <v>290</v>
      </c>
      <c r="E38" s="151"/>
      <c r="F38" s="152"/>
      <c r="G38" s="151"/>
      <c r="H38" s="417">
        <v>3110</v>
      </c>
      <c r="I38" s="153">
        <v>21240</v>
      </c>
      <c r="J38" s="153"/>
      <c r="K38" s="153"/>
      <c r="L38" s="153">
        <v>21240</v>
      </c>
      <c r="M38" s="153"/>
      <c r="N38" s="407"/>
      <c r="O38" s="153">
        <v>21240</v>
      </c>
      <c r="P38" s="439"/>
      <c r="Q38" s="439"/>
      <c r="R38" s="439"/>
      <c r="S38" s="439"/>
      <c r="T38" s="439"/>
      <c r="U38" s="439"/>
      <c r="V38" s="439"/>
      <c r="W38" s="439"/>
      <c r="X38" s="439"/>
      <c r="Y38" s="439"/>
      <c r="Z38" s="144">
        <v>21240</v>
      </c>
      <c r="AA38" s="407">
        <f t="shared" si="5"/>
        <v>0</v>
      </c>
      <c r="AC38" s="59"/>
      <c r="AD38" s="514"/>
      <c r="AE38" s="509"/>
      <c r="AF38" s="509"/>
      <c r="AG38" s="509"/>
      <c r="AH38" s="509"/>
    </row>
    <row r="39" spans="1:34" s="30" customFormat="1" ht="31.5" hidden="1">
      <c r="A39" s="585"/>
      <c r="B39" s="586"/>
      <c r="C39" s="149"/>
      <c r="D39" s="150" t="s">
        <v>833</v>
      </c>
      <c r="E39" s="151"/>
      <c r="F39" s="152"/>
      <c r="G39" s="151"/>
      <c r="H39" s="417">
        <v>3110</v>
      </c>
      <c r="I39" s="153">
        <v>0</v>
      </c>
      <c r="J39" s="153"/>
      <c r="K39" s="153"/>
      <c r="L39" s="153"/>
      <c r="M39" s="153"/>
      <c r="N39" s="407"/>
      <c r="O39" s="153">
        <v>0</v>
      </c>
      <c r="P39" s="439"/>
      <c r="Q39" s="439"/>
      <c r="R39" s="439"/>
      <c r="S39" s="439"/>
      <c r="T39" s="439"/>
      <c r="U39" s="439"/>
      <c r="V39" s="439"/>
      <c r="W39" s="439"/>
      <c r="X39" s="439"/>
      <c r="Y39" s="439"/>
      <c r="Z39" s="144">
        <v>0</v>
      </c>
      <c r="AA39" s="407">
        <f t="shared" si="5"/>
        <v>0</v>
      </c>
      <c r="AC39" s="59"/>
      <c r="AD39" s="514"/>
      <c r="AE39" s="509"/>
      <c r="AF39" s="509"/>
      <c r="AG39" s="509"/>
      <c r="AH39" s="509"/>
    </row>
    <row r="40" spans="1:34" s="30" customFormat="1" ht="31.5">
      <c r="A40" s="585"/>
      <c r="B40" s="586"/>
      <c r="C40" s="149"/>
      <c r="D40" s="150" t="s">
        <v>1039</v>
      </c>
      <c r="E40" s="151"/>
      <c r="F40" s="152"/>
      <c r="G40" s="151"/>
      <c r="H40" s="418">
        <v>3132</v>
      </c>
      <c r="I40" s="153">
        <v>52294.95</v>
      </c>
      <c r="J40" s="153"/>
      <c r="K40" s="153"/>
      <c r="L40" s="153">
        <v>52294.95</v>
      </c>
      <c r="M40" s="153"/>
      <c r="N40" s="407"/>
      <c r="O40" s="153">
        <v>52294.95</v>
      </c>
      <c r="P40" s="439"/>
      <c r="Q40" s="439"/>
      <c r="R40" s="439"/>
      <c r="S40" s="439"/>
      <c r="T40" s="439"/>
      <c r="U40" s="439"/>
      <c r="V40" s="439"/>
      <c r="W40" s="439"/>
      <c r="X40" s="439"/>
      <c r="Y40" s="439"/>
      <c r="Z40" s="144">
        <v>52294.95</v>
      </c>
      <c r="AA40" s="407">
        <f t="shared" si="5"/>
        <v>0</v>
      </c>
      <c r="AC40" s="59"/>
      <c r="AD40" s="514"/>
      <c r="AE40" s="509"/>
      <c r="AF40" s="509"/>
      <c r="AG40" s="509"/>
      <c r="AH40" s="509"/>
    </row>
    <row r="41" spans="1:34" s="30" customFormat="1" ht="18" customHeight="1">
      <c r="A41" s="585"/>
      <c r="B41" s="586"/>
      <c r="C41" s="149"/>
      <c r="D41" s="150" t="s">
        <v>622</v>
      </c>
      <c r="E41" s="151"/>
      <c r="F41" s="152"/>
      <c r="G41" s="151"/>
      <c r="H41" s="418">
        <v>3110</v>
      </c>
      <c r="I41" s="153">
        <v>8300</v>
      </c>
      <c r="J41" s="153"/>
      <c r="K41" s="153"/>
      <c r="L41" s="153">
        <v>8300</v>
      </c>
      <c r="M41" s="153"/>
      <c r="N41" s="407"/>
      <c r="O41" s="153">
        <v>8300</v>
      </c>
      <c r="P41" s="439"/>
      <c r="Q41" s="439"/>
      <c r="R41" s="439"/>
      <c r="S41" s="439"/>
      <c r="T41" s="439"/>
      <c r="U41" s="439"/>
      <c r="V41" s="439"/>
      <c r="W41" s="439"/>
      <c r="X41" s="439"/>
      <c r="Y41" s="439"/>
      <c r="Z41" s="144">
        <v>8300</v>
      </c>
      <c r="AA41" s="407">
        <f t="shared" si="5"/>
        <v>0</v>
      </c>
      <c r="AC41" s="59"/>
      <c r="AD41" s="514"/>
      <c r="AE41" s="509"/>
      <c r="AF41" s="509"/>
      <c r="AG41" s="509"/>
      <c r="AH41" s="509"/>
    </row>
    <row r="42" spans="1:34" s="30" customFormat="1" ht="31.5">
      <c r="A42" s="585"/>
      <c r="B42" s="586"/>
      <c r="C42" s="149"/>
      <c r="D42" s="14" t="s">
        <v>140</v>
      </c>
      <c r="E42" s="151"/>
      <c r="F42" s="152"/>
      <c r="G42" s="151"/>
      <c r="H42" s="418">
        <v>3110</v>
      </c>
      <c r="I42" s="153">
        <v>77000</v>
      </c>
      <c r="J42" s="153"/>
      <c r="K42" s="153"/>
      <c r="L42" s="49"/>
      <c r="M42" s="49">
        <v>77000</v>
      </c>
      <c r="N42" s="407"/>
      <c r="O42" s="439"/>
      <c r="P42" s="439"/>
      <c r="Q42" s="439"/>
      <c r="R42" s="439"/>
      <c r="S42" s="439">
        <f>40000-19504</f>
        <v>20496</v>
      </c>
      <c r="T42" s="439">
        <f>37000-9609.41+29113.41</f>
        <v>56504</v>
      </c>
      <c r="U42" s="439"/>
      <c r="V42" s="439"/>
      <c r="W42" s="439"/>
      <c r="X42" s="439">
        <f>19504-19504</f>
        <v>0</v>
      </c>
      <c r="Y42" s="439">
        <f>9609.41-9609.41</f>
        <v>0</v>
      </c>
      <c r="Z42" s="407">
        <v>76793</v>
      </c>
      <c r="AA42" s="407">
        <f t="shared" si="5"/>
        <v>207</v>
      </c>
      <c r="AC42" s="59"/>
      <c r="AD42" s="514">
        <v>76793</v>
      </c>
      <c r="AE42" s="509" t="s">
        <v>1972</v>
      </c>
      <c r="AF42" s="509"/>
      <c r="AG42" s="509"/>
      <c r="AH42" s="509"/>
    </row>
    <row r="43" spans="1:34" s="30" customFormat="1" ht="15.75">
      <c r="A43" s="585"/>
      <c r="B43" s="586"/>
      <c r="C43" s="149"/>
      <c r="D43" s="14" t="s">
        <v>349</v>
      </c>
      <c r="E43" s="151"/>
      <c r="F43" s="152"/>
      <c r="G43" s="151"/>
      <c r="H43" s="418">
        <v>3132</v>
      </c>
      <c r="I43" s="153">
        <v>29907.27</v>
      </c>
      <c r="J43" s="153"/>
      <c r="K43" s="153"/>
      <c r="L43" s="49"/>
      <c r="M43" s="49"/>
      <c r="N43" s="407"/>
      <c r="O43" s="439"/>
      <c r="P43" s="439"/>
      <c r="Q43" s="439"/>
      <c r="R43" s="439"/>
      <c r="S43" s="439"/>
      <c r="T43" s="439"/>
      <c r="U43" s="439"/>
      <c r="V43" s="439"/>
      <c r="W43" s="439">
        <v>9907.27</v>
      </c>
      <c r="X43" s="439">
        <v>19504</v>
      </c>
      <c r="Y43" s="439">
        <v>496</v>
      </c>
      <c r="Z43" s="407">
        <v>28491.57</v>
      </c>
      <c r="AA43" s="407">
        <f t="shared" si="5"/>
        <v>919.7</v>
      </c>
      <c r="AC43" s="59"/>
      <c r="AD43" s="514"/>
      <c r="AE43" s="509"/>
      <c r="AF43" s="509"/>
      <c r="AG43" s="509"/>
      <c r="AH43" s="509"/>
    </row>
    <row r="44" spans="1:34" s="30" customFormat="1" ht="31.5" hidden="1">
      <c r="A44" s="585"/>
      <c r="B44" s="586"/>
      <c r="C44" s="149"/>
      <c r="D44" s="14" t="s">
        <v>141</v>
      </c>
      <c r="E44" s="151"/>
      <c r="F44" s="152"/>
      <c r="G44" s="151"/>
      <c r="H44" s="418">
        <v>3110</v>
      </c>
      <c r="I44" s="153">
        <f>20000-20000</f>
        <v>0</v>
      </c>
      <c r="J44" s="153"/>
      <c r="K44" s="153"/>
      <c r="L44" s="49"/>
      <c r="M44" s="49">
        <v>20000</v>
      </c>
      <c r="N44" s="407"/>
      <c r="O44" s="439"/>
      <c r="P44" s="439"/>
      <c r="Q44" s="439"/>
      <c r="R44" s="439">
        <v>20000</v>
      </c>
      <c r="S44" s="439"/>
      <c r="T44" s="439">
        <v>-20000</v>
      </c>
      <c r="U44" s="439"/>
      <c r="V44" s="439"/>
      <c r="W44" s="439"/>
      <c r="X44" s="439">
        <f>19504-19504</f>
        <v>0</v>
      </c>
      <c r="Y44" s="439">
        <f>496-496</f>
        <v>0</v>
      </c>
      <c r="Z44" s="439"/>
      <c r="AA44" s="407">
        <f t="shared" si="5"/>
        <v>0</v>
      </c>
      <c r="AC44" s="59"/>
      <c r="AD44" s="514"/>
      <c r="AE44" s="509"/>
      <c r="AF44" s="509"/>
      <c r="AG44" s="509"/>
      <c r="AH44" s="509"/>
    </row>
    <row r="45" spans="1:34" s="30" customFormat="1" ht="15.75">
      <c r="A45" s="585"/>
      <c r="B45" s="586"/>
      <c r="C45" s="149"/>
      <c r="D45" s="14" t="s">
        <v>1195</v>
      </c>
      <c r="E45" s="151"/>
      <c r="F45" s="152"/>
      <c r="G45" s="151"/>
      <c r="H45" s="418">
        <v>3110</v>
      </c>
      <c r="I45" s="153">
        <v>12600</v>
      </c>
      <c r="J45" s="153"/>
      <c r="K45" s="153"/>
      <c r="L45" s="49"/>
      <c r="M45" s="49">
        <v>12600</v>
      </c>
      <c r="N45" s="407"/>
      <c r="O45" s="439"/>
      <c r="P45" s="439"/>
      <c r="Q45" s="439">
        <v>12600</v>
      </c>
      <c r="R45" s="439"/>
      <c r="S45" s="439"/>
      <c r="T45" s="439"/>
      <c r="U45" s="439"/>
      <c r="V45" s="439"/>
      <c r="W45" s="439"/>
      <c r="X45" s="439"/>
      <c r="Y45" s="439"/>
      <c r="Z45" s="407">
        <v>12450</v>
      </c>
      <c r="AA45" s="407">
        <f t="shared" si="5"/>
        <v>150</v>
      </c>
      <c r="AC45" s="59"/>
      <c r="AD45" s="514"/>
      <c r="AE45" s="509"/>
      <c r="AF45" s="509"/>
      <c r="AG45" s="509"/>
      <c r="AH45" s="509"/>
    </row>
    <row r="46" spans="1:34" s="30" customFormat="1" ht="15.75" hidden="1">
      <c r="A46" s="585"/>
      <c r="B46" s="586"/>
      <c r="C46" s="149"/>
      <c r="D46" s="150"/>
      <c r="E46" s="151"/>
      <c r="F46" s="152"/>
      <c r="G46" s="151"/>
      <c r="H46" s="418"/>
      <c r="I46" s="153" t="e">
        <f>J46+K46+L46+M46+#REF!+#REF!</f>
        <v>#REF!</v>
      </c>
      <c r="J46" s="153"/>
      <c r="K46" s="153"/>
      <c r="L46" s="153"/>
      <c r="M46" s="153"/>
      <c r="N46" s="407"/>
      <c r="O46" s="439"/>
      <c r="P46" s="439"/>
      <c r="Q46" s="439"/>
      <c r="R46" s="439"/>
      <c r="S46" s="439"/>
      <c r="T46" s="439"/>
      <c r="U46" s="439"/>
      <c r="V46" s="439"/>
      <c r="W46" s="439"/>
      <c r="X46" s="439"/>
      <c r="Y46" s="439"/>
      <c r="Z46" s="439"/>
      <c r="AA46" s="407">
        <f t="shared" si="5"/>
        <v>0</v>
      </c>
      <c r="AC46" s="59"/>
      <c r="AD46" s="514"/>
      <c r="AE46" s="509"/>
      <c r="AF46" s="509"/>
      <c r="AG46" s="509"/>
      <c r="AH46" s="509"/>
    </row>
    <row r="47" spans="1:34" s="30" customFormat="1" ht="15.75" hidden="1">
      <c r="A47" s="585"/>
      <c r="B47" s="586"/>
      <c r="C47" s="149"/>
      <c r="D47" s="150"/>
      <c r="E47" s="151"/>
      <c r="F47" s="152"/>
      <c r="G47" s="151"/>
      <c r="H47" s="418"/>
      <c r="I47" s="153" t="e">
        <f>J47+K47+L47+M47+#REF!+#REF!</f>
        <v>#REF!</v>
      </c>
      <c r="J47" s="153"/>
      <c r="K47" s="153"/>
      <c r="L47" s="153"/>
      <c r="M47" s="153"/>
      <c r="N47" s="407"/>
      <c r="O47" s="439"/>
      <c r="P47" s="439"/>
      <c r="Q47" s="439"/>
      <c r="R47" s="439"/>
      <c r="S47" s="439"/>
      <c r="T47" s="439"/>
      <c r="U47" s="439"/>
      <c r="V47" s="439"/>
      <c r="W47" s="439"/>
      <c r="X47" s="439"/>
      <c r="Y47" s="439"/>
      <c r="Z47" s="439"/>
      <c r="AA47" s="407">
        <f t="shared" si="5"/>
        <v>0</v>
      </c>
      <c r="AC47" s="59"/>
      <c r="AD47" s="514"/>
      <c r="AE47" s="509"/>
      <c r="AF47" s="509"/>
      <c r="AG47" s="509"/>
      <c r="AH47" s="509"/>
    </row>
    <row r="48" spans="1:34" s="30" customFormat="1" ht="15.75" hidden="1">
      <c r="A48" s="585"/>
      <c r="B48" s="586"/>
      <c r="C48" s="149"/>
      <c r="D48" s="150"/>
      <c r="E48" s="151"/>
      <c r="F48" s="152"/>
      <c r="G48" s="151"/>
      <c r="H48" s="418"/>
      <c r="I48" s="153" t="e">
        <f>J48+K48+L48+M48+#REF!+#REF!</f>
        <v>#REF!</v>
      </c>
      <c r="J48" s="153"/>
      <c r="K48" s="153"/>
      <c r="L48" s="153"/>
      <c r="M48" s="153"/>
      <c r="N48" s="407"/>
      <c r="O48" s="439"/>
      <c r="P48" s="439"/>
      <c r="Q48" s="439"/>
      <c r="R48" s="439"/>
      <c r="S48" s="439"/>
      <c r="T48" s="439"/>
      <c r="U48" s="439"/>
      <c r="V48" s="439"/>
      <c r="W48" s="439"/>
      <c r="X48" s="439"/>
      <c r="Y48" s="439"/>
      <c r="Z48" s="439"/>
      <c r="AA48" s="407">
        <f t="shared" si="5"/>
        <v>0</v>
      </c>
      <c r="AC48" s="59"/>
      <c r="AD48" s="514"/>
      <c r="AE48" s="509"/>
      <c r="AF48" s="509"/>
      <c r="AG48" s="509"/>
      <c r="AH48" s="509"/>
    </row>
    <row r="49" spans="1:34" s="30" customFormat="1" ht="15.75" hidden="1">
      <c r="A49" s="585"/>
      <c r="B49" s="586"/>
      <c r="C49" s="149"/>
      <c r="D49" s="150"/>
      <c r="E49" s="151"/>
      <c r="F49" s="152"/>
      <c r="G49" s="151"/>
      <c r="H49" s="418"/>
      <c r="I49" s="153"/>
      <c r="J49" s="153"/>
      <c r="K49" s="153"/>
      <c r="L49" s="153"/>
      <c r="M49" s="153"/>
      <c r="N49" s="407"/>
      <c r="O49" s="439"/>
      <c r="P49" s="439"/>
      <c r="Q49" s="439"/>
      <c r="R49" s="439"/>
      <c r="S49" s="439"/>
      <c r="T49" s="439"/>
      <c r="U49" s="439"/>
      <c r="V49" s="439"/>
      <c r="W49" s="439"/>
      <c r="X49" s="439"/>
      <c r="Y49" s="439"/>
      <c r="Z49" s="439"/>
      <c r="AA49" s="407">
        <f t="shared" si="5"/>
        <v>0</v>
      </c>
      <c r="AC49" s="59"/>
      <c r="AD49" s="514"/>
      <c r="AE49" s="509"/>
      <c r="AF49" s="509"/>
      <c r="AG49" s="509"/>
      <c r="AH49" s="509"/>
    </row>
    <row r="50" spans="1:34" s="30" customFormat="1" ht="15.75" hidden="1">
      <c r="A50" s="585"/>
      <c r="B50" s="586"/>
      <c r="C50" s="149"/>
      <c r="D50" s="150"/>
      <c r="E50" s="151"/>
      <c r="F50" s="152"/>
      <c r="G50" s="151"/>
      <c r="H50" s="418"/>
      <c r="I50" s="153"/>
      <c r="J50" s="153"/>
      <c r="K50" s="153"/>
      <c r="L50" s="153"/>
      <c r="M50" s="153"/>
      <c r="N50" s="407"/>
      <c r="O50" s="439"/>
      <c r="P50" s="439"/>
      <c r="Q50" s="439"/>
      <c r="R50" s="439"/>
      <c r="S50" s="439"/>
      <c r="T50" s="439"/>
      <c r="U50" s="439"/>
      <c r="V50" s="439"/>
      <c r="W50" s="439"/>
      <c r="X50" s="439"/>
      <c r="Y50" s="439"/>
      <c r="Z50" s="439"/>
      <c r="AA50" s="407">
        <f t="shared" si="5"/>
        <v>0</v>
      </c>
      <c r="AC50" s="59"/>
      <c r="AD50" s="514"/>
      <c r="AE50" s="509"/>
      <c r="AF50" s="509"/>
      <c r="AG50" s="509"/>
      <c r="AH50" s="509"/>
    </row>
    <row r="51" spans="1:34" s="30" customFormat="1" ht="15.75" hidden="1">
      <c r="A51" s="585"/>
      <c r="B51" s="586"/>
      <c r="C51" s="149"/>
      <c r="D51" s="150"/>
      <c r="E51" s="151"/>
      <c r="F51" s="152"/>
      <c r="G51" s="151"/>
      <c r="H51" s="418"/>
      <c r="I51" s="153"/>
      <c r="J51" s="153"/>
      <c r="K51" s="153"/>
      <c r="L51" s="153"/>
      <c r="M51" s="153"/>
      <c r="N51" s="407"/>
      <c r="O51" s="439"/>
      <c r="P51" s="439"/>
      <c r="Q51" s="439"/>
      <c r="R51" s="439"/>
      <c r="S51" s="439"/>
      <c r="T51" s="439"/>
      <c r="U51" s="439"/>
      <c r="V51" s="439"/>
      <c r="W51" s="439"/>
      <c r="X51" s="439"/>
      <c r="Y51" s="439"/>
      <c r="Z51" s="439"/>
      <c r="AA51" s="407">
        <f t="shared" si="5"/>
        <v>0</v>
      </c>
      <c r="AC51" s="59"/>
      <c r="AD51" s="514"/>
      <c r="AE51" s="509"/>
      <c r="AF51" s="509"/>
      <c r="AG51" s="509"/>
      <c r="AH51" s="509"/>
    </row>
    <row r="52" spans="1:34" s="30" customFormat="1" ht="15.75" hidden="1">
      <c r="A52" s="585"/>
      <c r="B52" s="586"/>
      <c r="C52" s="149"/>
      <c r="D52" s="150"/>
      <c r="E52" s="151"/>
      <c r="F52" s="152"/>
      <c r="G52" s="151"/>
      <c r="H52" s="418"/>
      <c r="I52" s="153"/>
      <c r="J52" s="153"/>
      <c r="K52" s="153"/>
      <c r="L52" s="153"/>
      <c r="M52" s="153"/>
      <c r="N52" s="407"/>
      <c r="O52" s="439"/>
      <c r="P52" s="439"/>
      <c r="Q52" s="439"/>
      <c r="R52" s="439"/>
      <c r="S52" s="439"/>
      <c r="T52" s="439"/>
      <c r="U52" s="439"/>
      <c r="V52" s="439"/>
      <c r="W52" s="439"/>
      <c r="X52" s="439"/>
      <c r="Y52" s="439"/>
      <c r="Z52" s="439"/>
      <c r="AA52" s="407">
        <f t="shared" si="5"/>
        <v>0</v>
      </c>
      <c r="AC52" s="59"/>
      <c r="AD52" s="514"/>
      <c r="AE52" s="509"/>
      <c r="AF52" s="509"/>
      <c r="AG52" s="509"/>
      <c r="AH52" s="509"/>
    </row>
    <row r="53" spans="1:34" s="30" customFormat="1" ht="15.75" hidden="1">
      <c r="A53" s="585"/>
      <c r="B53" s="586"/>
      <c r="C53" s="149"/>
      <c r="D53" s="150"/>
      <c r="E53" s="151"/>
      <c r="F53" s="152"/>
      <c r="G53" s="151"/>
      <c r="H53" s="418"/>
      <c r="I53" s="153" t="e">
        <f>J53+K53+L53+M53+#REF!+#REF!</f>
        <v>#REF!</v>
      </c>
      <c r="J53" s="153"/>
      <c r="K53" s="153"/>
      <c r="L53" s="153"/>
      <c r="M53" s="153"/>
      <c r="N53" s="407"/>
      <c r="O53" s="439"/>
      <c r="P53" s="439"/>
      <c r="Q53" s="439"/>
      <c r="R53" s="439"/>
      <c r="S53" s="439"/>
      <c r="T53" s="439"/>
      <c r="U53" s="439"/>
      <c r="V53" s="439"/>
      <c r="W53" s="439"/>
      <c r="X53" s="439"/>
      <c r="Y53" s="439"/>
      <c r="Z53" s="439"/>
      <c r="AA53" s="407">
        <f t="shared" si="5"/>
        <v>0</v>
      </c>
      <c r="AC53" s="59"/>
      <c r="AD53" s="514"/>
      <c r="AE53" s="509"/>
      <c r="AF53" s="509"/>
      <c r="AG53" s="509"/>
      <c r="AH53" s="509"/>
    </row>
    <row r="54" spans="1:34" s="30" customFormat="1" ht="15.75" hidden="1">
      <c r="A54" s="668"/>
      <c r="B54" s="668"/>
      <c r="C54" s="149" t="s">
        <v>134</v>
      </c>
      <c r="D54" s="150"/>
      <c r="E54" s="151"/>
      <c r="F54" s="152"/>
      <c r="G54" s="151"/>
      <c r="H54" s="418"/>
      <c r="I54" s="153" t="e">
        <f>J54+K54+L54+M54+#REF!+#REF!</f>
        <v>#REF!</v>
      </c>
      <c r="J54" s="153"/>
      <c r="K54" s="153"/>
      <c r="L54" s="153"/>
      <c r="M54" s="153"/>
      <c r="N54" s="407"/>
      <c r="O54" s="439"/>
      <c r="P54" s="439"/>
      <c r="Q54" s="439"/>
      <c r="R54" s="439"/>
      <c r="S54" s="439"/>
      <c r="T54" s="439"/>
      <c r="U54" s="439"/>
      <c r="V54" s="439"/>
      <c r="W54" s="439"/>
      <c r="X54" s="439"/>
      <c r="Y54" s="439"/>
      <c r="Z54" s="439"/>
      <c r="AA54" s="407">
        <f t="shared" si="5"/>
        <v>0</v>
      </c>
      <c r="AC54" s="59"/>
      <c r="AD54" s="514"/>
      <c r="AE54" s="509"/>
      <c r="AF54" s="509"/>
      <c r="AG54" s="509"/>
      <c r="AH54" s="509"/>
    </row>
    <row r="55" spans="1:34" s="30" customFormat="1" ht="31.5" hidden="1">
      <c r="A55" s="585" t="s">
        <v>40</v>
      </c>
      <c r="B55" s="640" t="s">
        <v>1100</v>
      </c>
      <c r="C55" s="148"/>
      <c r="D55" s="33" t="s">
        <v>2099</v>
      </c>
      <c r="E55" s="158"/>
      <c r="F55" s="159"/>
      <c r="G55" s="158"/>
      <c r="H55" s="419"/>
      <c r="I55" s="139" t="e">
        <f>J55+K55+L55+M55+#REF!+#REF!</f>
        <v>#REF!</v>
      </c>
      <c r="J55" s="461"/>
      <c r="K55" s="461"/>
      <c r="L55" s="139">
        <f>L56</f>
        <v>0</v>
      </c>
      <c r="M55" s="461"/>
      <c r="N55" s="407"/>
      <c r="O55" s="439"/>
      <c r="P55" s="439"/>
      <c r="Q55" s="439"/>
      <c r="R55" s="439"/>
      <c r="S55" s="439"/>
      <c r="T55" s="439"/>
      <c r="U55" s="439"/>
      <c r="V55" s="439"/>
      <c r="W55" s="439"/>
      <c r="X55" s="439"/>
      <c r="Y55" s="439"/>
      <c r="Z55" s="439"/>
      <c r="AA55" s="407">
        <f t="shared" si="5"/>
        <v>0</v>
      </c>
      <c r="AC55" s="59"/>
      <c r="AD55" s="514"/>
      <c r="AE55" s="509"/>
      <c r="AF55" s="509"/>
      <c r="AG55" s="509"/>
      <c r="AH55" s="509"/>
    </row>
    <row r="56" spans="1:34" s="30" customFormat="1" ht="47.25" hidden="1">
      <c r="A56" s="668"/>
      <c r="B56" s="668"/>
      <c r="C56" s="148"/>
      <c r="D56" s="141" t="s">
        <v>2100</v>
      </c>
      <c r="E56" s="142"/>
      <c r="F56" s="143"/>
      <c r="G56" s="142"/>
      <c r="H56" s="417"/>
      <c r="I56" s="144" t="e">
        <f>J56+K56+L56+M56+#REF!+#REF!</f>
        <v>#REF!</v>
      </c>
      <c r="J56" s="144"/>
      <c r="K56" s="144"/>
      <c r="L56" s="144"/>
      <c r="M56" s="144"/>
      <c r="N56" s="407"/>
      <c r="O56" s="439"/>
      <c r="P56" s="439"/>
      <c r="Q56" s="439"/>
      <c r="R56" s="439"/>
      <c r="S56" s="439"/>
      <c r="T56" s="439"/>
      <c r="U56" s="439"/>
      <c r="V56" s="439"/>
      <c r="W56" s="439"/>
      <c r="X56" s="439"/>
      <c r="Y56" s="439"/>
      <c r="Z56" s="439"/>
      <c r="AA56" s="407">
        <f t="shared" si="5"/>
        <v>0</v>
      </c>
      <c r="AC56" s="59"/>
      <c r="AD56" s="514"/>
      <c r="AE56" s="509"/>
      <c r="AF56" s="509"/>
      <c r="AG56" s="509"/>
      <c r="AH56" s="509"/>
    </row>
    <row r="57" spans="1:34" s="30" customFormat="1" ht="15.75" hidden="1">
      <c r="A57" s="578">
        <v>110502</v>
      </c>
      <c r="B57" s="620" t="s">
        <v>514</v>
      </c>
      <c r="C57" s="148"/>
      <c r="D57" s="136" t="s">
        <v>1456</v>
      </c>
      <c r="E57" s="142"/>
      <c r="F57" s="143"/>
      <c r="G57" s="142"/>
      <c r="H57" s="417"/>
      <c r="I57" s="139" t="e">
        <f>J57+K57+L57+M57+#REF!+#REF!</f>
        <v>#REF!</v>
      </c>
      <c r="J57" s="461"/>
      <c r="K57" s="461"/>
      <c r="L57" s="461"/>
      <c r="M57" s="461"/>
      <c r="N57" s="407"/>
      <c r="O57" s="439"/>
      <c r="P57" s="439"/>
      <c r="Q57" s="439"/>
      <c r="R57" s="439"/>
      <c r="S57" s="439"/>
      <c r="T57" s="439"/>
      <c r="U57" s="439"/>
      <c r="V57" s="439"/>
      <c r="W57" s="439"/>
      <c r="X57" s="439"/>
      <c r="Y57" s="439"/>
      <c r="Z57" s="439"/>
      <c r="AA57" s="407">
        <f t="shared" si="5"/>
        <v>0</v>
      </c>
      <c r="AC57" s="59"/>
      <c r="AD57" s="514"/>
      <c r="AE57" s="509"/>
      <c r="AF57" s="509"/>
      <c r="AG57" s="509"/>
      <c r="AH57" s="509"/>
    </row>
    <row r="58" spans="1:34" s="30" customFormat="1" ht="31.5">
      <c r="A58" s="666"/>
      <c r="B58" s="666"/>
      <c r="C58" s="148"/>
      <c r="D58" s="136" t="s">
        <v>924</v>
      </c>
      <c r="E58" s="158"/>
      <c r="F58" s="159"/>
      <c r="G58" s="158"/>
      <c r="H58" s="419"/>
      <c r="I58" s="139">
        <f>I59</f>
        <v>12000</v>
      </c>
      <c r="J58" s="139">
        <f>J59+J60</f>
        <v>0</v>
      </c>
      <c r="K58" s="139">
        <f>K59+K60</f>
        <v>0</v>
      </c>
      <c r="L58" s="139">
        <f>L59+L60</f>
        <v>0</v>
      </c>
      <c r="M58" s="139">
        <f>M59+M60</f>
        <v>12000</v>
      </c>
      <c r="N58" s="139">
        <f aca="true" t="shared" si="6" ref="N58:Z58">N59+N60</f>
        <v>0</v>
      </c>
      <c r="O58" s="139">
        <f t="shared" si="6"/>
        <v>0</v>
      </c>
      <c r="P58" s="139">
        <f t="shared" si="6"/>
        <v>0</v>
      </c>
      <c r="Q58" s="139">
        <f t="shared" si="6"/>
        <v>12000</v>
      </c>
      <c r="R58" s="139">
        <f t="shared" si="6"/>
        <v>0</v>
      </c>
      <c r="S58" s="139">
        <f t="shared" si="6"/>
        <v>0</v>
      </c>
      <c r="T58" s="139">
        <f t="shared" si="6"/>
        <v>0</v>
      </c>
      <c r="U58" s="139">
        <f t="shared" si="6"/>
        <v>0</v>
      </c>
      <c r="V58" s="139">
        <f t="shared" si="6"/>
        <v>0</v>
      </c>
      <c r="W58" s="139">
        <f t="shared" si="6"/>
        <v>0</v>
      </c>
      <c r="X58" s="139">
        <f t="shared" si="6"/>
        <v>0</v>
      </c>
      <c r="Y58" s="139">
        <f t="shared" si="6"/>
        <v>0</v>
      </c>
      <c r="Z58" s="139">
        <f t="shared" si="6"/>
        <v>12000</v>
      </c>
      <c r="AA58" s="407">
        <f t="shared" si="5"/>
        <v>0</v>
      </c>
      <c r="AC58" s="59"/>
      <c r="AD58" s="514"/>
      <c r="AE58" s="509"/>
      <c r="AF58" s="509"/>
      <c r="AG58" s="509"/>
      <c r="AH58" s="509"/>
    </row>
    <row r="59" spans="1:34" s="30" customFormat="1" ht="31.5">
      <c r="A59" s="666"/>
      <c r="B59" s="666"/>
      <c r="C59" s="148"/>
      <c r="D59" s="141" t="s">
        <v>332</v>
      </c>
      <c r="E59" s="142"/>
      <c r="F59" s="143"/>
      <c r="G59" s="142"/>
      <c r="H59" s="417">
        <v>3110</v>
      </c>
      <c r="I59" s="144">
        <v>12000</v>
      </c>
      <c r="J59" s="144"/>
      <c r="K59" s="144"/>
      <c r="L59" s="169"/>
      <c r="M59" s="144">
        <v>12000</v>
      </c>
      <c r="N59" s="407"/>
      <c r="O59" s="439"/>
      <c r="P59" s="439"/>
      <c r="Q59" s="439">
        <v>12000</v>
      </c>
      <c r="R59" s="439"/>
      <c r="S59" s="439"/>
      <c r="T59" s="439"/>
      <c r="U59" s="439"/>
      <c r="V59" s="439"/>
      <c r="W59" s="439"/>
      <c r="X59" s="439"/>
      <c r="Y59" s="439"/>
      <c r="Z59" s="407">
        <v>12000</v>
      </c>
      <c r="AA59" s="407">
        <f t="shared" si="5"/>
        <v>0</v>
      </c>
      <c r="AC59" s="59"/>
      <c r="AD59" s="514"/>
      <c r="AE59" s="509"/>
      <c r="AF59" s="509"/>
      <c r="AG59" s="509"/>
      <c r="AH59" s="509"/>
    </row>
    <row r="60" spans="1:34" s="36" customFormat="1" ht="31.5" hidden="1">
      <c r="A60" s="667"/>
      <c r="B60" s="667"/>
      <c r="C60" s="148" t="s">
        <v>926</v>
      </c>
      <c r="D60" s="141" t="s">
        <v>927</v>
      </c>
      <c r="E60" s="142"/>
      <c r="F60" s="143"/>
      <c r="G60" s="142"/>
      <c r="H60" s="417"/>
      <c r="I60" s="144" t="e">
        <f>J60+K60+L60+M60+#REF!+#REF!</f>
        <v>#REF!</v>
      </c>
      <c r="J60" s="144"/>
      <c r="K60" s="144"/>
      <c r="L60" s="144"/>
      <c r="M60" s="144"/>
      <c r="N60" s="407"/>
      <c r="O60" s="439"/>
      <c r="P60" s="439"/>
      <c r="Q60" s="439"/>
      <c r="R60" s="439"/>
      <c r="S60" s="439"/>
      <c r="T60" s="439"/>
      <c r="U60" s="439"/>
      <c r="V60" s="439"/>
      <c r="W60" s="439"/>
      <c r="X60" s="439"/>
      <c r="Y60" s="439"/>
      <c r="Z60" s="439"/>
      <c r="AA60" s="407">
        <f t="shared" si="5"/>
        <v>0</v>
      </c>
      <c r="AC60" s="406"/>
      <c r="AD60" s="515"/>
      <c r="AE60" s="497"/>
      <c r="AF60" s="497"/>
      <c r="AG60" s="497"/>
      <c r="AH60" s="497"/>
    </row>
    <row r="61" spans="1:62" s="28" customFormat="1" ht="15.75" hidden="1">
      <c r="A61" s="585" t="s">
        <v>1447</v>
      </c>
      <c r="B61" s="586" t="s">
        <v>1448</v>
      </c>
      <c r="C61" s="148"/>
      <c r="D61" s="136" t="s">
        <v>1456</v>
      </c>
      <c r="E61" s="158"/>
      <c r="F61" s="159"/>
      <c r="G61" s="158"/>
      <c r="H61" s="419"/>
      <c r="I61" s="139" t="e">
        <f>J61+K61+L61+M61+#REF!+#REF!</f>
        <v>#REF!</v>
      </c>
      <c r="J61" s="139">
        <f>SUM(J62:J63)</f>
        <v>0</v>
      </c>
      <c r="K61" s="139"/>
      <c r="L61" s="139">
        <f>SUM(L62:L63)</f>
        <v>0</v>
      </c>
      <c r="M61" s="139">
        <f>SUM(M62:M63)</f>
        <v>0</v>
      </c>
      <c r="N61" s="407"/>
      <c r="O61" s="439"/>
      <c r="P61" s="439"/>
      <c r="Q61" s="439"/>
      <c r="R61" s="439"/>
      <c r="S61" s="439"/>
      <c r="T61" s="439"/>
      <c r="U61" s="439"/>
      <c r="V61" s="439"/>
      <c r="W61" s="439"/>
      <c r="X61" s="439"/>
      <c r="Y61" s="439"/>
      <c r="Z61" s="439"/>
      <c r="AA61" s="407">
        <f t="shared" si="5"/>
        <v>0</v>
      </c>
      <c r="AB61" s="30"/>
      <c r="AC61" s="59"/>
      <c r="AD61" s="514"/>
      <c r="AE61" s="509"/>
      <c r="AF61" s="509"/>
      <c r="AG61" s="509"/>
      <c r="AH61" s="509"/>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row>
    <row r="62" spans="1:34" s="30" customFormat="1" ht="31.5" hidden="1">
      <c r="A62" s="585"/>
      <c r="B62" s="586"/>
      <c r="C62" s="148" t="s">
        <v>928</v>
      </c>
      <c r="D62" s="141" t="s">
        <v>929</v>
      </c>
      <c r="E62" s="142">
        <v>25</v>
      </c>
      <c r="F62" s="143">
        <f>100%-((E62-G62)/E62)</f>
        <v>1</v>
      </c>
      <c r="G62" s="142">
        <v>25</v>
      </c>
      <c r="H62" s="417"/>
      <c r="I62" s="144" t="e">
        <f>J62+K62+L62+M62+#REF!+#REF!</f>
        <v>#REF!</v>
      </c>
      <c r="J62" s="144"/>
      <c r="K62" s="462"/>
      <c r="L62" s="144"/>
      <c r="M62" s="144"/>
      <c r="N62" s="407"/>
      <c r="O62" s="439"/>
      <c r="P62" s="439"/>
      <c r="Q62" s="439"/>
      <c r="R62" s="439"/>
      <c r="S62" s="439"/>
      <c r="T62" s="439"/>
      <c r="U62" s="439"/>
      <c r="V62" s="439"/>
      <c r="W62" s="439"/>
      <c r="X62" s="439"/>
      <c r="Y62" s="439"/>
      <c r="Z62" s="439"/>
      <c r="AA62" s="407">
        <f t="shared" si="5"/>
        <v>0</v>
      </c>
      <c r="AC62" s="59"/>
      <c r="AD62" s="514"/>
      <c r="AE62" s="509"/>
      <c r="AF62" s="509"/>
      <c r="AG62" s="509"/>
      <c r="AH62" s="509"/>
    </row>
    <row r="63" spans="1:34" s="30" customFormat="1" ht="15.75" hidden="1">
      <c r="A63" s="585"/>
      <c r="B63" s="586"/>
      <c r="C63" s="148" t="s">
        <v>930</v>
      </c>
      <c r="D63" s="141" t="s">
        <v>931</v>
      </c>
      <c r="E63" s="142">
        <v>144.4</v>
      </c>
      <c r="F63" s="143">
        <f>100%-((E63-G63)/E63)</f>
        <v>1</v>
      </c>
      <c r="G63" s="142">
        <v>144.4</v>
      </c>
      <c r="H63" s="417"/>
      <c r="I63" s="144" t="e">
        <f>J63+K63+L63+M63+#REF!+#REF!</f>
        <v>#REF!</v>
      </c>
      <c r="J63" s="144"/>
      <c r="K63" s="462"/>
      <c r="L63" s="144"/>
      <c r="M63" s="144"/>
      <c r="N63" s="407"/>
      <c r="O63" s="439"/>
      <c r="P63" s="439"/>
      <c r="Q63" s="439"/>
      <c r="R63" s="439"/>
      <c r="S63" s="439"/>
      <c r="T63" s="439"/>
      <c r="U63" s="439"/>
      <c r="V63" s="439"/>
      <c r="W63" s="439"/>
      <c r="X63" s="439"/>
      <c r="Y63" s="439"/>
      <c r="Z63" s="439"/>
      <c r="AA63" s="407">
        <f t="shared" si="5"/>
        <v>0</v>
      </c>
      <c r="AC63" s="59"/>
      <c r="AD63" s="514"/>
      <c r="AE63" s="509"/>
      <c r="AF63" s="509"/>
      <c r="AG63" s="509"/>
      <c r="AH63" s="509"/>
    </row>
    <row r="64" spans="1:34" s="30" customFormat="1" ht="104.25" customHeight="1" hidden="1">
      <c r="A64" s="166">
        <v>180409</v>
      </c>
      <c r="B64" s="166" t="s">
        <v>753</v>
      </c>
      <c r="C64" s="167"/>
      <c r="D64" s="168" t="s">
        <v>2057</v>
      </c>
      <c r="E64" s="137"/>
      <c r="F64" s="159"/>
      <c r="G64" s="137"/>
      <c r="H64" s="416"/>
      <c r="I64" s="139" t="e">
        <f>J64+K64+L64+M64+#REF!+#REF!</f>
        <v>#REF!</v>
      </c>
      <c r="J64" s="169"/>
      <c r="K64" s="169"/>
      <c r="L64" s="169"/>
      <c r="M64" s="169"/>
      <c r="N64" s="407"/>
      <c r="O64" s="439"/>
      <c r="P64" s="439"/>
      <c r="Q64" s="439"/>
      <c r="R64" s="439"/>
      <c r="S64" s="439"/>
      <c r="T64" s="439"/>
      <c r="U64" s="439"/>
      <c r="V64" s="439"/>
      <c r="W64" s="439"/>
      <c r="X64" s="439"/>
      <c r="Y64" s="439"/>
      <c r="Z64" s="439"/>
      <c r="AA64" s="407">
        <f t="shared" si="5"/>
        <v>0</v>
      </c>
      <c r="AC64" s="59"/>
      <c r="AD64" s="514"/>
      <c r="AE64" s="509"/>
      <c r="AF64" s="509"/>
      <c r="AG64" s="509"/>
      <c r="AH64" s="509"/>
    </row>
    <row r="65" spans="1:34" s="30" customFormat="1" ht="27" customHeight="1">
      <c r="A65" s="605">
        <v>250344</v>
      </c>
      <c r="B65" s="605" t="s">
        <v>217</v>
      </c>
      <c r="C65" s="167"/>
      <c r="D65" s="168" t="s">
        <v>1456</v>
      </c>
      <c r="E65" s="137"/>
      <c r="F65" s="159"/>
      <c r="G65" s="137"/>
      <c r="H65" s="416"/>
      <c r="I65" s="139">
        <f>I66</f>
        <v>294000</v>
      </c>
      <c r="J65" s="139">
        <f aca="true" t="shared" si="7" ref="J65:Z65">J66</f>
        <v>0</v>
      </c>
      <c r="K65" s="139">
        <f t="shared" si="7"/>
        <v>0</v>
      </c>
      <c r="L65" s="139">
        <f t="shared" si="7"/>
        <v>0</v>
      </c>
      <c r="M65" s="139">
        <f t="shared" si="7"/>
        <v>0</v>
      </c>
      <c r="N65" s="139">
        <f t="shared" si="7"/>
        <v>0</v>
      </c>
      <c r="O65" s="139">
        <f t="shared" si="7"/>
        <v>0</v>
      </c>
      <c r="P65" s="139">
        <f t="shared" si="7"/>
        <v>0</v>
      </c>
      <c r="Q65" s="139">
        <f t="shared" si="7"/>
        <v>0</v>
      </c>
      <c r="R65" s="139">
        <f t="shared" si="7"/>
        <v>0</v>
      </c>
      <c r="S65" s="139">
        <f t="shared" si="7"/>
        <v>0</v>
      </c>
      <c r="T65" s="139">
        <f t="shared" si="7"/>
        <v>0</v>
      </c>
      <c r="U65" s="139">
        <f t="shared" si="7"/>
        <v>0</v>
      </c>
      <c r="V65" s="139">
        <f t="shared" si="7"/>
        <v>0</v>
      </c>
      <c r="W65" s="139">
        <f t="shared" si="7"/>
        <v>0</v>
      </c>
      <c r="X65" s="139">
        <f t="shared" si="7"/>
        <v>294000</v>
      </c>
      <c r="Y65" s="139">
        <f t="shared" si="7"/>
        <v>0</v>
      </c>
      <c r="Z65" s="139">
        <f t="shared" si="7"/>
        <v>0</v>
      </c>
      <c r="AA65" s="407">
        <f t="shared" si="5"/>
        <v>294000</v>
      </c>
      <c r="AC65" s="59"/>
      <c r="AD65" s="514"/>
      <c r="AE65" s="509"/>
      <c r="AF65" s="509"/>
      <c r="AG65" s="509"/>
      <c r="AH65" s="509"/>
    </row>
    <row r="66" spans="1:34" s="30" customFormat="1" ht="104.25" customHeight="1">
      <c r="A66" s="606"/>
      <c r="B66" s="606"/>
      <c r="C66" s="167"/>
      <c r="D66" s="271" t="s">
        <v>218</v>
      </c>
      <c r="E66" s="172"/>
      <c r="F66" s="143"/>
      <c r="G66" s="172"/>
      <c r="H66" s="420">
        <v>3220</v>
      </c>
      <c r="I66" s="169">
        <v>294000</v>
      </c>
      <c r="J66" s="169"/>
      <c r="K66" s="169"/>
      <c r="L66" s="169"/>
      <c r="M66" s="169"/>
      <c r="N66" s="407"/>
      <c r="O66" s="439"/>
      <c r="P66" s="439"/>
      <c r="Q66" s="439"/>
      <c r="R66" s="439"/>
      <c r="S66" s="439"/>
      <c r="T66" s="439"/>
      <c r="U66" s="439"/>
      <c r="V66" s="439"/>
      <c r="W66" s="439"/>
      <c r="X66" s="439">
        <v>294000</v>
      </c>
      <c r="Y66" s="439"/>
      <c r="Z66" s="439"/>
      <c r="AA66" s="407">
        <f t="shared" si="5"/>
        <v>294000</v>
      </c>
      <c r="AC66" s="59"/>
      <c r="AD66" s="514"/>
      <c r="AE66" s="509"/>
      <c r="AF66" s="509"/>
      <c r="AG66" s="509"/>
      <c r="AH66" s="509"/>
    </row>
    <row r="67" spans="1:34" s="30" customFormat="1" ht="15.75">
      <c r="A67" s="605">
        <v>250404</v>
      </c>
      <c r="B67" s="605" t="s">
        <v>635</v>
      </c>
      <c r="C67" s="167"/>
      <c r="D67" s="168" t="s">
        <v>1456</v>
      </c>
      <c r="E67" s="137"/>
      <c r="F67" s="159"/>
      <c r="G67" s="137"/>
      <c r="H67" s="416"/>
      <c r="I67" s="139">
        <f>I75+I81</f>
        <v>5000</v>
      </c>
      <c r="J67" s="139">
        <f aca="true" t="shared" si="8" ref="J67:Z67">J75+J81</f>
        <v>0</v>
      </c>
      <c r="K67" s="139">
        <f t="shared" si="8"/>
        <v>0</v>
      </c>
      <c r="L67" s="139">
        <f t="shared" si="8"/>
        <v>0</v>
      </c>
      <c r="M67" s="139">
        <f t="shared" si="8"/>
        <v>12840</v>
      </c>
      <c r="N67" s="139">
        <f t="shared" si="8"/>
        <v>0</v>
      </c>
      <c r="O67" s="139">
        <f t="shared" si="8"/>
        <v>0</v>
      </c>
      <c r="P67" s="139">
        <f t="shared" si="8"/>
        <v>0</v>
      </c>
      <c r="Q67" s="139">
        <f t="shared" si="8"/>
        <v>5000</v>
      </c>
      <c r="R67" s="139">
        <f t="shared" si="8"/>
        <v>7840</v>
      </c>
      <c r="S67" s="139">
        <f t="shared" si="8"/>
        <v>0</v>
      </c>
      <c r="T67" s="139">
        <f t="shared" si="8"/>
        <v>0</v>
      </c>
      <c r="U67" s="139">
        <f t="shared" si="8"/>
        <v>-7840</v>
      </c>
      <c r="V67" s="139">
        <f t="shared" si="8"/>
        <v>294000</v>
      </c>
      <c r="W67" s="139">
        <f t="shared" si="8"/>
        <v>0</v>
      </c>
      <c r="X67" s="139">
        <f t="shared" si="8"/>
        <v>-294000</v>
      </c>
      <c r="Y67" s="139">
        <f t="shared" si="8"/>
        <v>0</v>
      </c>
      <c r="Z67" s="139">
        <f t="shared" si="8"/>
        <v>5000</v>
      </c>
      <c r="AA67" s="407">
        <f t="shared" si="5"/>
        <v>0</v>
      </c>
      <c r="AC67" s="59"/>
      <c r="AD67" s="514"/>
      <c r="AE67" s="509"/>
      <c r="AF67" s="509"/>
      <c r="AG67" s="509"/>
      <c r="AH67" s="509"/>
    </row>
    <row r="68" spans="1:34" s="30" customFormat="1" ht="31.5" customHeight="1" hidden="1">
      <c r="A68" s="607"/>
      <c r="B68" s="607"/>
      <c r="C68" s="135"/>
      <c r="D68" s="136" t="s">
        <v>1149</v>
      </c>
      <c r="E68" s="137"/>
      <c r="F68" s="159"/>
      <c r="G68" s="137"/>
      <c r="H68" s="416"/>
      <c r="I68" s="139" t="e">
        <f>J68+K68+L68+M68+#REF!+#REF!</f>
        <v>#REF!</v>
      </c>
      <c r="J68" s="139">
        <f>SUM(J69:J70)</f>
        <v>0</v>
      </c>
      <c r="K68" s="139">
        <f>SUM(K69:K70)</f>
        <v>0</v>
      </c>
      <c r="L68" s="139">
        <f>SUM(L69:L73)</f>
        <v>0</v>
      </c>
      <c r="M68" s="139">
        <f>SUM(M69:M70)</f>
        <v>0</v>
      </c>
      <c r="N68" s="407"/>
      <c r="O68" s="439"/>
      <c r="P68" s="439"/>
      <c r="Q68" s="439"/>
      <c r="R68" s="439"/>
      <c r="S68" s="439"/>
      <c r="T68" s="439"/>
      <c r="U68" s="439"/>
      <c r="V68" s="439"/>
      <c r="W68" s="439"/>
      <c r="X68" s="439"/>
      <c r="Y68" s="439"/>
      <c r="Z68" s="439"/>
      <c r="AA68" s="407">
        <f t="shared" si="5"/>
        <v>0</v>
      </c>
      <c r="AC68" s="59"/>
      <c r="AD68" s="514"/>
      <c r="AE68" s="509"/>
      <c r="AF68" s="509"/>
      <c r="AG68" s="509"/>
      <c r="AH68" s="509"/>
    </row>
    <row r="69" spans="1:34" s="30" customFormat="1" ht="47.25" customHeight="1" hidden="1">
      <c r="A69" s="607"/>
      <c r="B69" s="607"/>
      <c r="C69" s="135" t="s">
        <v>1150</v>
      </c>
      <c r="D69" s="141" t="s">
        <v>269</v>
      </c>
      <c r="E69" s="172"/>
      <c r="F69" s="143"/>
      <c r="G69" s="172"/>
      <c r="H69" s="420"/>
      <c r="I69" s="144" t="e">
        <f>J69+K69+L69+M69+#REF!+#REF!</f>
        <v>#REF!</v>
      </c>
      <c r="J69" s="144"/>
      <c r="K69" s="462"/>
      <c r="L69" s="144"/>
      <c r="M69" s="144"/>
      <c r="N69" s="407"/>
      <c r="O69" s="439"/>
      <c r="P69" s="439"/>
      <c r="Q69" s="439"/>
      <c r="R69" s="439"/>
      <c r="S69" s="439"/>
      <c r="T69" s="439"/>
      <c r="U69" s="439"/>
      <c r="V69" s="439"/>
      <c r="W69" s="439"/>
      <c r="X69" s="439"/>
      <c r="Y69" s="439"/>
      <c r="Z69" s="439"/>
      <c r="AA69" s="407">
        <f t="shared" si="5"/>
        <v>0</v>
      </c>
      <c r="AC69" s="59"/>
      <c r="AD69" s="514"/>
      <c r="AE69" s="509"/>
      <c r="AF69" s="509"/>
      <c r="AG69" s="509"/>
      <c r="AH69" s="509"/>
    </row>
    <row r="70" spans="1:34" s="30" customFormat="1" ht="47.25" customHeight="1" hidden="1">
      <c r="A70" s="607"/>
      <c r="B70" s="607"/>
      <c r="C70" s="167" t="s">
        <v>270</v>
      </c>
      <c r="D70" s="141" t="s">
        <v>2100</v>
      </c>
      <c r="E70" s="172"/>
      <c r="F70" s="143"/>
      <c r="G70" s="172"/>
      <c r="H70" s="420"/>
      <c r="I70" s="144" t="e">
        <f>J70+K70+L70+M70+#REF!+#REF!</f>
        <v>#REF!</v>
      </c>
      <c r="J70" s="144"/>
      <c r="K70" s="462"/>
      <c r="L70" s="144">
        <f>2.98-2.98</f>
        <v>0</v>
      </c>
      <c r="M70" s="144"/>
      <c r="N70" s="407"/>
      <c r="O70" s="439"/>
      <c r="P70" s="439"/>
      <c r="Q70" s="439"/>
      <c r="R70" s="439"/>
      <c r="S70" s="439"/>
      <c r="T70" s="439"/>
      <c r="U70" s="439"/>
      <c r="V70" s="439"/>
      <c r="W70" s="439"/>
      <c r="X70" s="439"/>
      <c r="Y70" s="439"/>
      <c r="Z70" s="439"/>
      <c r="AA70" s="407">
        <f t="shared" si="5"/>
        <v>0</v>
      </c>
      <c r="AC70" s="59"/>
      <c r="AD70" s="514"/>
      <c r="AE70" s="509"/>
      <c r="AF70" s="509"/>
      <c r="AG70" s="509"/>
      <c r="AH70" s="509"/>
    </row>
    <row r="71" spans="1:34" s="30" customFormat="1" ht="31.5" customHeight="1" hidden="1">
      <c r="A71" s="607"/>
      <c r="B71" s="607"/>
      <c r="C71" s="167"/>
      <c r="D71" s="136" t="s">
        <v>701</v>
      </c>
      <c r="E71" s="137"/>
      <c r="F71" s="159"/>
      <c r="G71" s="137"/>
      <c r="H71" s="416"/>
      <c r="I71" s="139" t="e">
        <f>J71+K71+L71+M71+#REF!+#REF!</f>
        <v>#REF!</v>
      </c>
      <c r="J71" s="139">
        <f>J72</f>
        <v>0</v>
      </c>
      <c r="K71" s="461"/>
      <c r="L71" s="139">
        <f>L72</f>
        <v>0</v>
      </c>
      <c r="M71" s="461"/>
      <c r="N71" s="407"/>
      <c r="O71" s="439"/>
      <c r="P71" s="439"/>
      <c r="Q71" s="439"/>
      <c r="R71" s="439"/>
      <c r="S71" s="439"/>
      <c r="T71" s="439"/>
      <c r="U71" s="439"/>
      <c r="V71" s="439"/>
      <c r="W71" s="439"/>
      <c r="X71" s="439"/>
      <c r="Y71" s="439"/>
      <c r="Z71" s="439"/>
      <c r="AA71" s="407">
        <f t="shared" si="5"/>
        <v>0</v>
      </c>
      <c r="AC71" s="59"/>
      <c r="AD71" s="514"/>
      <c r="AE71" s="509"/>
      <c r="AF71" s="509"/>
      <c r="AG71" s="509"/>
      <c r="AH71" s="509"/>
    </row>
    <row r="72" spans="1:34" s="30" customFormat="1" ht="18.75" customHeight="1" hidden="1">
      <c r="A72" s="607"/>
      <c r="B72" s="607"/>
      <c r="C72" s="167"/>
      <c r="D72" s="141" t="s">
        <v>840</v>
      </c>
      <c r="E72" s="172"/>
      <c r="F72" s="143"/>
      <c r="G72" s="172"/>
      <c r="H72" s="420"/>
      <c r="I72" s="144" t="e">
        <f>J72+K72+L72+M72+#REF!+#REF!</f>
        <v>#REF!</v>
      </c>
      <c r="J72" s="144"/>
      <c r="K72" s="462"/>
      <c r="L72" s="144"/>
      <c r="M72" s="144"/>
      <c r="N72" s="407"/>
      <c r="O72" s="439"/>
      <c r="P72" s="439"/>
      <c r="Q72" s="439"/>
      <c r="R72" s="439"/>
      <c r="S72" s="439"/>
      <c r="T72" s="439"/>
      <c r="U72" s="439"/>
      <c r="V72" s="439"/>
      <c r="W72" s="439"/>
      <c r="X72" s="439"/>
      <c r="Y72" s="439"/>
      <c r="Z72" s="439"/>
      <c r="AA72" s="407">
        <f t="shared" si="5"/>
        <v>0</v>
      </c>
      <c r="AC72" s="59"/>
      <c r="AD72" s="514"/>
      <c r="AE72" s="509"/>
      <c r="AF72" s="509"/>
      <c r="AG72" s="509"/>
      <c r="AH72" s="509"/>
    </row>
    <row r="73" spans="1:34" s="30" customFormat="1" ht="47.25" customHeight="1" hidden="1">
      <c r="A73" s="607"/>
      <c r="B73" s="607"/>
      <c r="C73" s="175" t="s">
        <v>270</v>
      </c>
      <c r="D73" s="141" t="s">
        <v>2100</v>
      </c>
      <c r="E73" s="176"/>
      <c r="F73" s="177"/>
      <c r="G73" s="176"/>
      <c r="H73" s="421"/>
      <c r="I73" s="144" t="e">
        <f>J73+K73+L73+M73+#REF!+#REF!</f>
        <v>#REF!</v>
      </c>
      <c r="J73" s="463"/>
      <c r="K73" s="463"/>
      <c r="L73" s="463"/>
      <c r="M73" s="463"/>
      <c r="N73" s="407"/>
      <c r="O73" s="439"/>
      <c r="P73" s="439"/>
      <c r="Q73" s="439"/>
      <c r="R73" s="439"/>
      <c r="S73" s="439"/>
      <c r="T73" s="439"/>
      <c r="U73" s="439"/>
      <c r="V73" s="439"/>
      <c r="W73" s="439"/>
      <c r="X73" s="439"/>
      <c r="Y73" s="439"/>
      <c r="Z73" s="439"/>
      <c r="AA73" s="407">
        <f t="shared" si="5"/>
        <v>0</v>
      </c>
      <c r="AC73" s="59"/>
      <c r="AD73" s="514"/>
      <c r="AE73" s="509"/>
      <c r="AF73" s="509"/>
      <c r="AG73" s="509"/>
      <c r="AH73" s="509"/>
    </row>
    <row r="74" spans="1:34" s="30" customFormat="1" ht="18.75" customHeight="1" hidden="1">
      <c r="A74" s="607"/>
      <c r="B74" s="607"/>
      <c r="C74" s="167"/>
      <c r="D74" s="141"/>
      <c r="E74" s="172"/>
      <c r="F74" s="143"/>
      <c r="G74" s="172"/>
      <c r="H74" s="420"/>
      <c r="I74" s="144"/>
      <c r="J74" s="144"/>
      <c r="K74" s="462"/>
      <c r="L74" s="144"/>
      <c r="M74" s="144"/>
      <c r="N74" s="407"/>
      <c r="O74" s="439"/>
      <c r="P74" s="439"/>
      <c r="Q74" s="439"/>
      <c r="R74" s="439"/>
      <c r="S74" s="439"/>
      <c r="T74" s="439"/>
      <c r="U74" s="439"/>
      <c r="V74" s="439"/>
      <c r="W74" s="439"/>
      <c r="X74" s="439"/>
      <c r="Y74" s="439"/>
      <c r="Z74" s="439"/>
      <c r="AA74" s="407">
        <f t="shared" si="5"/>
        <v>0</v>
      </c>
      <c r="AC74" s="59"/>
      <c r="AD74" s="514"/>
      <c r="AE74" s="509"/>
      <c r="AF74" s="509"/>
      <c r="AG74" s="509"/>
      <c r="AH74" s="509"/>
    </row>
    <row r="75" spans="1:34" s="30" customFormat="1" ht="47.25">
      <c r="A75" s="607"/>
      <c r="B75" s="607"/>
      <c r="C75" s="167"/>
      <c r="D75" s="196" t="s">
        <v>190</v>
      </c>
      <c r="E75" s="172"/>
      <c r="F75" s="143"/>
      <c r="G75" s="172"/>
      <c r="H75" s="420"/>
      <c r="I75" s="169">
        <f>SUM(I76:I77)</f>
        <v>5000</v>
      </c>
      <c r="J75" s="169">
        <f>J76+J77</f>
        <v>0</v>
      </c>
      <c r="K75" s="169"/>
      <c r="L75" s="169">
        <f>L78+L80+L79+L76+L77</f>
        <v>0</v>
      </c>
      <c r="M75" s="169">
        <f>M78+M80+M79+M76+M77</f>
        <v>12840</v>
      </c>
      <c r="N75" s="169">
        <f aca="true" t="shared" si="9" ref="N75:Z75">N78+N80+N79+N76+N77</f>
        <v>0</v>
      </c>
      <c r="O75" s="169">
        <f t="shared" si="9"/>
        <v>0</v>
      </c>
      <c r="P75" s="169">
        <f t="shared" si="9"/>
        <v>0</v>
      </c>
      <c r="Q75" s="169">
        <f t="shared" si="9"/>
        <v>5000</v>
      </c>
      <c r="R75" s="169">
        <f t="shared" si="9"/>
        <v>7840</v>
      </c>
      <c r="S75" s="169">
        <f t="shared" si="9"/>
        <v>0</v>
      </c>
      <c r="T75" s="169">
        <f t="shared" si="9"/>
        <v>0</v>
      </c>
      <c r="U75" s="169">
        <f t="shared" si="9"/>
        <v>-7840</v>
      </c>
      <c r="V75" s="169">
        <f t="shared" si="9"/>
        <v>0</v>
      </c>
      <c r="W75" s="169">
        <f t="shared" si="9"/>
        <v>0</v>
      </c>
      <c r="X75" s="169">
        <f t="shared" si="9"/>
        <v>0</v>
      </c>
      <c r="Y75" s="169">
        <f t="shared" si="9"/>
        <v>0</v>
      </c>
      <c r="Z75" s="169">
        <f t="shared" si="9"/>
        <v>5000</v>
      </c>
      <c r="AA75" s="407">
        <f t="shared" si="5"/>
        <v>0</v>
      </c>
      <c r="AC75" s="59"/>
      <c r="AD75" s="514"/>
      <c r="AE75" s="509"/>
      <c r="AF75" s="509"/>
      <c r="AG75" s="509"/>
      <c r="AH75" s="509"/>
    </row>
    <row r="76" spans="1:34" s="40" customFormat="1" ht="31.5">
      <c r="A76" s="607"/>
      <c r="B76" s="607"/>
      <c r="C76" s="167"/>
      <c r="D76" s="13" t="s">
        <v>191</v>
      </c>
      <c r="E76" s="142"/>
      <c r="F76" s="143"/>
      <c r="G76" s="142"/>
      <c r="H76" s="417">
        <v>3110</v>
      </c>
      <c r="I76" s="144">
        <v>5000</v>
      </c>
      <c r="J76" s="144"/>
      <c r="K76" s="144"/>
      <c r="L76" s="49"/>
      <c r="M76" s="49">
        <v>5000</v>
      </c>
      <c r="N76" s="407"/>
      <c r="O76" s="407"/>
      <c r="P76" s="407"/>
      <c r="Q76" s="407">
        <v>5000</v>
      </c>
      <c r="R76" s="407"/>
      <c r="S76" s="407"/>
      <c r="T76" s="407"/>
      <c r="U76" s="407"/>
      <c r="V76" s="407"/>
      <c r="W76" s="407"/>
      <c r="X76" s="407"/>
      <c r="Y76" s="407"/>
      <c r="Z76" s="407">
        <v>5000</v>
      </c>
      <c r="AA76" s="407">
        <f t="shared" si="5"/>
        <v>0</v>
      </c>
      <c r="AC76" s="498"/>
      <c r="AD76" s="512"/>
      <c r="AE76" s="507"/>
      <c r="AF76" s="507"/>
      <c r="AG76" s="507"/>
      <c r="AH76" s="507"/>
    </row>
    <row r="77" spans="1:34" s="40" customFormat="1" ht="15.75" customHeight="1" hidden="1">
      <c r="A77" s="607"/>
      <c r="B77" s="607"/>
      <c r="C77" s="167"/>
      <c r="D77" s="13" t="s">
        <v>697</v>
      </c>
      <c r="E77" s="142"/>
      <c r="F77" s="143"/>
      <c r="G77" s="142"/>
      <c r="H77" s="417">
        <v>3110</v>
      </c>
      <c r="I77" s="144">
        <f>7840-7840</f>
        <v>0</v>
      </c>
      <c r="J77" s="144"/>
      <c r="K77" s="144"/>
      <c r="L77" s="49"/>
      <c r="M77" s="49">
        <v>7840</v>
      </c>
      <c r="N77" s="407"/>
      <c r="O77" s="407"/>
      <c r="P77" s="407"/>
      <c r="Q77" s="407"/>
      <c r="R77" s="407">
        <v>7840</v>
      </c>
      <c r="S77" s="407"/>
      <c r="T77" s="407"/>
      <c r="U77" s="407">
        <v>-7840</v>
      </c>
      <c r="V77" s="407"/>
      <c r="W77" s="407"/>
      <c r="X77" s="407"/>
      <c r="Y77" s="407"/>
      <c r="Z77" s="407"/>
      <c r="AA77" s="407">
        <f t="shared" si="5"/>
        <v>0</v>
      </c>
      <c r="AC77" s="498"/>
      <c r="AD77" s="512"/>
      <c r="AE77" s="507"/>
      <c r="AF77" s="507"/>
      <c r="AG77" s="507"/>
      <c r="AH77" s="507"/>
    </row>
    <row r="78" spans="1:34" s="30" customFormat="1" ht="15.75" customHeight="1" hidden="1">
      <c r="A78" s="607"/>
      <c r="B78" s="607"/>
      <c r="C78" s="167" t="s">
        <v>1767</v>
      </c>
      <c r="D78" s="141" t="s">
        <v>1768</v>
      </c>
      <c r="E78" s="172"/>
      <c r="F78" s="143"/>
      <c r="G78" s="172"/>
      <c r="H78" s="420"/>
      <c r="I78" s="144" t="e">
        <f>J78+K78+L78+M78+#REF!+#REF!</f>
        <v>#REF!</v>
      </c>
      <c r="J78" s="144"/>
      <c r="K78" s="169"/>
      <c r="L78" s="144"/>
      <c r="M78" s="169"/>
      <c r="N78" s="407"/>
      <c r="O78" s="439"/>
      <c r="P78" s="439"/>
      <c r="Q78" s="439"/>
      <c r="R78" s="439"/>
      <c r="S78" s="439"/>
      <c r="T78" s="439"/>
      <c r="U78" s="439"/>
      <c r="V78" s="439"/>
      <c r="W78" s="439"/>
      <c r="X78" s="439"/>
      <c r="Y78" s="439"/>
      <c r="Z78" s="439"/>
      <c r="AA78" s="407">
        <f t="shared" si="5"/>
        <v>0</v>
      </c>
      <c r="AC78" s="59"/>
      <c r="AD78" s="514"/>
      <c r="AE78" s="509"/>
      <c r="AF78" s="509"/>
      <c r="AG78" s="509"/>
      <c r="AH78" s="509"/>
    </row>
    <row r="79" spans="1:34" s="30" customFormat="1" ht="31.5" customHeight="1" hidden="1">
      <c r="A79" s="607"/>
      <c r="B79" s="607"/>
      <c r="C79" s="167" t="s">
        <v>1769</v>
      </c>
      <c r="D79" s="141" t="s">
        <v>1770</v>
      </c>
      <c r="E79" s="172"/>
      <c r="F79" s="143"/>
      <c r="G79" s="172"/>
      <c r="H79" s="420"/>
      <c r="I79" s="144" t="e">
        <f>J79+K79+L79+M79+#REF!+#REF!</f>
        <v>#REF!</v>
      </c>
      <c r="J79" s="144"/>
      <c r="K79" s="169"/>
      <c r="L79" s="144"/>
      <c r="M79" s="169"/>
      <c r="N79" s="407"/>
      <c r="O79" s="439"/>
      <c r="P79" s="439"/>
      <c r="Q79" s="439"/>
      <c r="R79" s="439"/>
      <c r="S79" s="439"/>
      <c r="T79" s="439"/>
      <c r="U79" s="439"/>
      <c r="V79" s="439"/>
      <c r="W79" s="439"/>
      <c r="X79" s="439"/>
      <c r="Y79" s="439"/>
      <c r="Z79" s="439"/>
      <c r="AA79" s="407">
        <f t="shared" si="5"/>
        <v>0</v>
      </c>
      <c r="AC79" s="59"/>
      <c r="AD79" s="514"/>
      <c r="AE79" s="509"/>
      <c r="AF79" s="509"/>
      <c r="AG79" s="509"/>
      <c r="AH79" s="509"/>
    </row>
    <row r="80" spans="1:34" s="30" customFormat="1" ht="15.75" customHeight="1" hidden="1">
      <c r="A80" s="607"/>
      <c r="B80" s="607"/>
      <c r="C80" s="167" t="s">
        <v>1771</v>
      </c>
      <c r="D80" s="141" t="s">
        <v>1772</v>
      </c>
      <c r="E80" s="172"/>
      <c r="F80" s="143"/>
      <c r="G80" s="172"/>
      <c r="H80" s="420"/>
      <c r="I80" s="144" t="e">
        <f>J80+K80+L80+M80+#REF!+#REF!</f>
        <v>#REF!</v>
      </c>
      <c r="J80" s="144"/>
      <c r="K80" s="169"/>
      <c r="L80" s="144"/>
      <c r="M80" s="169"/>
      <c r="N80" s="407"/>
      <c r="O80" s="439"/>
      <c r="P80" s="439"/>
      <c r="Q80" s="439"/>
      <c r="R80" s="439"/>
      <c r="S80" s="439"/>
      <c r="T80" s="439"/>
      <c r="U80" s="439"/>
      <c r="V80" s="439"/>
      <c r="W80" s="439"/>
      <c r="X80" s="439"/>
      <c r="Y80" s="439"/>
      <c r="Z80" s="439"/>
      <c r="AA80" s="407">
        <f t="shared" si="5"/>
        <v>0</v>
      </c>
      <c r="AC80" s="59"/>
      <c r="AD80" s="514"/>
      <c r="AE80" s="509"/>
      <c r="AF80" s="509"/>
      <c r="AG80" s="509"/>
      <c r="AH80" s="509"/>
    </row>
    <row r="81" spans="1:34" s="40" customFormat="1" ht="15.75" hidden="1">
      <c r="A81" s="606"/>
      <c r="B81" s="606"/>
      <c r="C81" s="167"/>
      <c r="D81" s="141" t="s">
        <v>1453</v>
      </c>
      <c r="E81" s="142"/>
      <c r="F81" s="143"/>
      <c r="G81" s="142"/>
      <c r="H81" s="417">
        <v>3110</v>
      </c>
      <c r="I81" s="144">
        <f>294000-294000</f>
        <v>0</v>
      </c>
      <c r="J81" s="144"/>
      <c r="K81" s="144"/>
      <c r="L81" s="144"/>
      <c r="M81" s="144"/>
      <c r="N81" s="407"/>
      <c r="O81" s="407"/>
      <c r="P81" s="407"/>
      <c r="Q81" s="407"/>
      <c r="R81" s="407"/>
      <c r="S81" s="407"/>
      <c r="T81" s="407"/>
      <c r="U81" s="407"/>
      <c r="V81" s="407">
        <f>294000</f>
        <v>294000</v>
      </c>
      <c r="W81" s="407"/>
      <c r="X81" s="407">
        <v>-294000</v>
      </c>
      <c r="Y81" s="407"/>
      <c r="Z81" s="407"/>
      <c r="AA81" s="407">
        <f t="shared" si="5"/>
        <v>0</v>
      </c>
      <c r="AC81" s="498"/>
      <c r="AD81" s="512"/>
      <c r="AE81" s="507"/>
      <c r="AF81" s="507"/>
      <c r="AG81" s="507"/>
      <c r="AH81" s="507"/>
    </row>
    <row r="82" spans="1:34" s="30" customFormat="1" ht="13.5" customHeight="1">
      <c r="A82" s="479"/>
      <c r="B82" s="479"/>
      <c r="C82" s="167"/>
      <c r="D82" s="141"/>
      <c r="E82" s="172"/>
      <c r="F82" s="143"/>
      <c r="G82" s="172"/>
      <c r="H82" s="420"/>
      <c r="I82" s="144"/>
      <c r="J82" s="144"/>
      <c r="K82" s="169"/>
      <c r="L82" s="144"/>
      <c r="M82" s="169"/>
      <c r="N82" s="407"/>
      <c r="O82" s="439"/>
      <c r="P82" s="439"/>
      <c r="Q82" s="439"/>
      <c r="R82" s="439"/>
      <c r="S82" s="439"/>
      <c r="T82" s="439"/>
      <c r="U82" s="439"/>
      <c r="V82" s="439"/>
      <c r="W82" s="439"/>
      <c r="X82" s="439"/>
      <c r="Y82" s="439"/>
      <c r="Z82" s="439"/>
      <c r="AA82" s="407">
        <f t="shared" si="5"/>
        <v>0</v>
      </c>
      <c r="AC82" s="59"/>
      <c r="AD82" s="514"/>
      <c r="AE82" s="509"/>
      <c r="AF82" s="509"/>
      <c r="AG82" s="509"/>
      <c r="AH82" s="509"/>
    </row>
    <row r="83" spans="1:62" s="42" customFormat="1" ht="15.75">
      <c r="A83" s="41" t="s">
        <v>1641</v>
      </c>
      <c r="B83" s="628" t="s">
        <v>1773</v>
      </c>
      <c r="C83" s="629"/>
      <c r="D83" s="630"/>
      <c r="E83" s="130"/>
      <c r="F83" s="131"/>
      <c r="G83" s="130"/>
      <c r="H83" s="415"/>
      <c r="I83" s="132">
        <f>I84+I90+I88</f>
        <v>158000</v>
      </c>
      <c r="J83" s="132">
        <f aca="true" t="shared" si="10" ref="J83:Z83">J84+J90+J88</f>
        <v>0</v>
      </c>
      <c r="K83" s="132">
        <f t="shared" si="10"/>
        <v>0</v>
      </c>
      <c r="L83" s="132">
        <f t="shared" si="10"/>
        <v>0</v>
      </c>
      <c r="M83" s="132">
        <f t="shared" si="10"/>
        <v>44000</v>
      </c>
      <c r="N83" s="132">
        <f t="shared" si="10"/>
        <v>0</v>
      </c>
      <c r="O83" s="132">
        <f t="shared" si="10"/>
        <v>0</v>
      </c>
      <c r="P83" s="132">
        <f t="shared" si="10"/>
        <v>0</v>
      </c>
      <c r="Q83" s="132">
        <f t="shared" si="10"/>
        <v>0</v>
      </c>
      <c r="R83" s="132">
        <f t="shared" si="10"/>
        <v>0</v>
      </c>
      <c r="S83" s="132">
        <f t="shared" si="10"/>
        <v>24000</v>
      </c>
      <c r="T83" s="132">
        <f t="shared" si="10"/>
        <v>0</v>
      </c>
      <c r="U83" s="132">
        <f t="shared" si="10"/>
        <v>0</v>
      </c>
      <c r="V83" s="132">
        <f t="shared" si="10"/>
        <v>114000</v>
      </c>
      <c r="W83" s="132">
        <f t="shared" si="10"/>
        <v>20000</v>
      </c>
      <c r="X83" s="132">
        <f t="shared" si="10"/>
        <v>0</v>
      </c>
      <c r="Y83" s="132">
        <f t="shared" si="10"/>
        <v>0</v>
      </c>
      <c r="Z83" s="132">
        <f t="shared" si="10"/>
        <v>43989.76</v>
      </c>
      <c r="AA83" s="407">
        <f t="shared" si="5"/>
        <v>114010.24</v>
      </c>
      <c r="AB83" s="36"/>
      <c r="AC83" s="406"/>
      <c r="AD83" s="515"/>
      <c r="AE83" s="497"/>
      <c r="AF83" s="497"/>
      <c r="AG83" s="497"/>
      <c r="AH83" s="497"/>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row>
    <row r="84" spans="1:62" s="43" customFormat="1" ht="15.75">
      <c r="A84" s="672" t="s">
        <v>1756</v>
      </c>
      <c r="B84" s="640" t="s">
        <v>966</v>
      </c>
      <c r="C84" s="184"/>
      <c r="D84" s="136" t="s">
        <v>1774</v>
      </c>
      <c r="E84" s="137"/>
      <c r="F84" s="138"/>
      <c r="G84" s="137"/>
      <c r="H84" s="416"/>
      <c r="I84" s="139">
        <f>SUM(I85:I87)</f>
        <v>44000</v>
      </c>
      <c r="J84" s="139">
        <f>SUM(J85:J87)</f>
        <v>0</v>
      </c>
      <c r="K84" s="139">
        <f>SUM(K85:K87)</f>
        <v>0</v>
      </c>
      <c r="L84" s="139">
        <f>SUM(L85:L87)</f>
        <v>0</v>
      </c>
      <c r="M84" s="139">
        <f>SUM(M85:M87)</f>
        <v>44000</v>
      </c>
      <c r="N84" s="139">
        <f aca="true" t="shared" si="11" ref="N84:Z84">SUM(N85:N87)</f>
        <v>0</v>
      </c>
      <c r="O84" s="139">
        <f t="shared" si="11"/>
        <v>0</v>
      </c>
      <c r="P84" s="139">
        <f t="shared" si="11"/>
        <v>0</v>
      </c>
      <c r="Q84" s="139">
        <f t="shared" si="11"/>
        <v>0</v>
      </c>
      <c r="R84" s="139">
        <f t="shared" si="11"/>
        <v>0</v>
      </c>
      <c r="S84" s="139">
        <f t="shared" si="11"/>
        <v>24000</v>
      </c>
      <c r="T84" s="139">
        <f t="shared" si="11"/>
        <v>0</v>
      </c>
      <c r="U84" s="139">
        <f t="shared" si="11"/>
        <v>0</v>
      </c>
      <c r="V84" s="139">
        <f t="shared" si="11"/>
        <v>0</v>
      </c>
      <c r="W84" s="139">
        <f t="shared" si="11"/>
        <v>20000</v>
      </c>
      <c r="X84" s="139">
        <f t="shared" si="11"/>
        <v>0</v>
      </c>
      <c r="Y84" s="139">
        <f t="shared" si="11"/>
        <v>0</v>
      </c>
      <c r="Z84" s="139">
        <f t="shared" si="11"/>
        <v>43989.76</v>
      </c>
      <c r="AA84" s="407">
        <f t="shared" si="5"/>
        <v>10.24</v>
      </c>
      <c r="AB84" s="36"/>
      <c r="AC84" s="406"/>
      <c r="AD84" s="515"/>
      <c r="AE84" s="497"/>
      <c r="AF84" s="497"/>
      <c r="AG84" s="497"/>
      <c r="AH84" s="497"/>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row>
    <row r="85" spans="1:34" s="36" customFormat="1" ht="31.5" hidden="1">
      <c r="A85" s="672"/>
      <c r="B85" s="640"/>
      <c r="C85" s="167"/>
      <c r="D85" s="242" t="s">
        <v>988</v>
      </c>
      <c r="E85" s="172"/>
      <c r="F85" s="143"/>
      <c r="G85" s="172"/>
      <c r="H85" s="417">
        <v>3110</v>
      </c>
      <c r="I85" s="144">
        <f>24000-24000</f>
        <v>0</v>
      </c>
      <c r="J85" s="144"/>
      <c r="K85" s="169"/>
      <c r="L85" s="76"/>
      <c r="M85" s="76">
        <v>24000</v>
      </c>
      <c r="N85" s="407"/>
      <c r="O85" s="439"/>
      <c r="P85" s="439"/>
      <c r="Q85" s="439"/>
      <c r="R85" s="439"/>
      <c r="S85" s="439">
        <v>24000</v>
      </c>
      <c r="T85" s="439"/>
      <c r="U85" s="439"/>
      <c r="V85" s="439"/>
      <c r="W85" s="439">
        <v>-24000</v>
      </c>
      <c r="X85" s="439"/>
      <c r="Y85" s="439"/>
      <c r="Z85" s="439"/>
      <c r="AA85" s="407">
        <f t="shared" si="5"/>
        <v>0</v>
      </c>
      <c r="AC85" s="406"/>
      <c r="AD85" s="515"/>
      <c r="AE85" s="497"/>
      <c r="AF85" s="497"/>
      <c r="AG85" s="497"/>
      <c r="AH85" s="497"/>
    </row>
    <row r="86" spans="1:34" s="36" customFormat="1" ht="31.5">
      <c r="A86" s="672"/>
      <c r="B86" s="640"/>
      <c r="C86" s="167"/>
      <c r="D86" s="242" t="s">
        <v>1525</v>
      </c>
      <c r="E86" s="172"/>
      <c r="F86" s="143"/>
      <c r="G86" s="172"/>
      <c r="H86" s="417">
        <v>3110</v>
      </c>
      <c r="I86" s="144">
        <v>44000</v>
      </c>
      <c r="J86" s="144"/>
      <c r="K86" s="169"/>
      <c r="L86" s="76"/>
      <c r="M86" s="76"/>
      <c r="N86" s="407"/>
      <c r="O86" s="439"/>
      <c r="P86" s="439"/>
      <c r="Q86" s="439"/>
      <c r="R86" s="439"/>
      <c r="S86" s="439"/>
      <c r="T86" s="439"/>
      <c r="U86" s="439"/>
      <c r="V86" s="439"/>
      <c r="W86" s="439">
        <v>44000</v>
      </c>
      <c r="X86" s="439"/>
      <c r="Y86" s="439"/>
      <c r="Z86" s="407">
        <v>43989.76</v>
      </c>
      <c r="AA86" s="407">
        <f t="shared" si="5"/>
        <v>10.24</v>
      </c>
      <c r="AC86" s="406"/>
      <c r="AD86" s="515"/>
      <c r="AE86" s="497"/>
      <c r="AF86" s="497"/>
      <c r="AG86" s="497"/>
      <c r="AH86" s="497"/>
    </row>
    <row r="87" spans="1:34" s="36" customFormat="1" ht="31.5" hidden="1">
      <c r="A87" s="672"/>
      <c r="B87" s="640"/>
      <c r="C87" s="167"/>
      <c r="D87" s="242" t="s">
        <v>292</v>
      </c>
      <c r="E87" s="172"/>
      <c r="F87" s="143"/>
      <c r="G87" s="172"/>
      <c r="H87" s="417">
        <v>3110</v>
      </c>
      <c r="I87" s="144">
        <f>20000-20000</f>
        <v>0</v>
      </c>
      <c r="J87" s="144"/>
      <c r="K87" s="169"/>
      <c r="L87" s="76"/>
      <c r="M87" s="76">
        <v>20000</v>
      </c>
      <c r="N87" s="407"/>
      <c r="O87" s="439"/>
      <c r="P87" s="439"/>
      <c r="Q87" s="439"/>
      <c r="R87" s="439"/>
      <c r="S87" s="439"/>
      <c r="T87" s="439"/>
      <c r="U87" s="439"/>
      <c r="V87" s="439"/>
      <c r="W87" s="439">
        <f>20000-20000</f>
        <v>0</v>
      </c>
      <c r="X87" s="439"/>
      <c r="Y87" s="439"/>
      <c r="Z87" s="439"/>
      <c r="AA87" s="407">
        <f aca="true" t="shared" si="12" ref="AA87:AA152">N87+O87+P87+Q87+R87+S87+T87+U87+V87+W87+X87-Z87</f>
        <v>0</v>
      </c>
      <c r="AC87" s="406"/>
      <c r="AD87" s="515"/>
      <c r="AE87" s="497"/>
      <c r="AF87" s="497"/>
      <c r="AG87" s="497"/>
      <c r="AH87" s="497"/>
    </row>
    <row r="88" spans="1:34" s="36" customFormat="1" ht="15.75">
      <c r="A88" s="626" t="s">
        <v>150</v>
      </c>
      <c r="B88" s="620" t="s">
        <v>217</v>
      </c>
      <c r="C88" s="227"/>
      <c r="D88" s="526" t="s">
        <v>1774</v>
      </c>
      <c r="E88" s="137"/>
      <c r="F88" s="138"/>
      <c r="G88" s="137"/>
      <c r="H88" s="416"/>
      <c r="I88" s="139">
        <f>I89</f>
        <v>114000</v>
      </c>
      <c r="J88" s="139">
        <f aca="true" t="shared" si="13" ref="J88:Z88">J89</f>
        <v>0</v>
      </c>
      <c r="K88" s="139">
        <f t="shared" si="13"/>
        <v>0</v>
      </c>
      <c r="L88" s="139">
        <f t="shared" si="13"/>
        <v>0</v>
      </c>
      <c r="M88" s="139">
        <f t="shared" si="13"/>
        <v>0</v>
      </c>
      <c r="N88" s="139">
        <f t="shared" si="13"/>
        <v>0</v>
      </c>
      <c r="O88" s="139">
        <f t="shared" si="13"/>
        <v>0</v>
      </c>
      <c r="P88" s="139">
        <f t="shared" si="13"/>
        <v>0</v>
      </c>
      <c r="Q88" s="139">
        <f t="shared" si="13"/>
        <v>0</v>
      </c>
      <c r="R88" s="139">
        <f t="shared" si="13"/>
        <v>0</v>
      </c>
      <c r="S88" s="139">
        <f t="shared" si="13"/>
        <v>0</v>
      </c>
      <c r="T88" s="139">
        <f t="shared" si="13"/>
        <v>0</v>
      </c>
      <c r="U88" s="139">
        <f t="shared" si="13"/>
        <v>0</v>
      </c>
      <c r="V88" s="139">
        <f t="shared" si="13"/>
        <v>0</v>
      </c>
      <c r="W88" s="139">
        <f t="shared" si="13"/>
        <v>0</v>
      </c>
      <c r="X88" s="139">
        <f t="shared" si="13"/>
        <v>114000</v>
      </c>
      <c r="Y88" s="139">
        <f t="shared" si="13"/>
        <v>0</v>
      </c>
      <c r="Z88" s="139">
        <f t="shared" si="13"/>
        <v>0</v>
      </c>
      <c r="AA88" s="407">
        <f t="shared" si="5"/>
        <v>114000</v>
      </c>
      <c r="AC88" s="406"/>
      <c r="AD88" s="515"/>
      <c r="AE88" s="497"/>
      <c r="AF88" s="497"/>
      <c r="AG88" s="497"/>
      <c r="AH88" s="497"/>
    </row>
    <row r="89" spans="1:34" s="36" customFormat="1" ht="79.5" customHeight="1">
      <c r="A89" s="699"/>
      <c r="B89" s="625"/>
      <c r="C89" s="167"/>
      <c r="D89" s="242" t="s">
        <v>221</v>
      </c>
      <c r="E89" s="172"/>
      <c r="F89" s="143"/>
      <c r="G89" s="172"/>
      <c r="H89" s="417">
        <v>3220</v>
      </c>
      <c r="I89" s="144">
        <v>114000</v>
      </c>
      <c r="J89" s="144"/>
      <c r="K89" s="169"/>
      <c r="L89" s="76"/>
      <c r="M89" s="76"/>
      <c r="N89" s="407"/>
      <c r="O89" s="439"/>
      <c r="P89" s="439"/>
      <c r="Q89" s="439"/>
      <c r="R89" s="439"/>
      <c r="S89" s="439"/>
      <c r="T89" s="439"/>
      <c r="U89" s="439"/>
      <c r="V89" s="439"/>
      <c r="W89" s="439"/>
      <c r="X89" s="439">
        <v>114000</v>
      </c>
      <c r="Y89" s="439"/>
      <c r="Z89" s="439"/>
      <c r="AA89" s="407">
        <f t="shared" si="5"/>
        <v>114000</v>
      </c>
      <c r="AC89" s="406"/>
      <c r="AD89" s="515"/>
      <c r="AE89" s="497"/>
      <c r="AF89" s="497"/>
      <c r="AG89" s="497"/>
      <c r="AH89" s="497"/>
    </row>
    <row r="90" spans="1:34" s="36" customFormat="1" ht="15.75" hidden="1">
      <c r="A90" s="626" t="s">
        <v>1449</v>
      </c>
      <c r="B90" s="620" t="s">
        <v>635</v>
      </c>
      <c r="C90" s="167"/>
      <c r="D90" s="526" t="s">
        <v>1774</v>
      </c>
      <c r="E90" s="137"/>
      <c r="F90" s="138"/>
      <c r="G90" s="137"/>
      <c r="H90" s="416"/>
      <c r="I90" s="139">
        <f>I91</f>
        <v>0</v>
      </c>
      <c r="J90" s="139">
        <f aca="true" t="shared" si="14" ref="J90:Z90">J91</f>
        <v>0</v>
      </c>
      <c r="K90" s="139">
        <f t="shared" si="14"/>
        <v>0</v>
      </c>
      <c r="L90" s="139">
        <f t="shared" si="14"/>
        <v>0</v>
      </c>
      <c r="M90" s="139">
        <f t="shared" si="14"/>
        <v>0</v>
      </c>
      <c r="N90" s="139">
        <f t="shared" si="14"/>
        <v>0</v>
      </c>
      <c r="O90" s="139">
        <f t="shared" si="14"/>
        <v>0</v>
      </c>
      <c r="P90" s="139">
        <f t="shared" si="14"/>
        <v>0</v>
      </c>
      <c r="Q90" s="139">
        <f t="shared" si="14"/>
        <v>0</v>
      </c>
      <c r="R90" s="139">
        <f t="shared" si="14"/>
        <v>0</v>
      </c>
      <c r="S90" s="139">
        <f t="shared" si="14"/>
        <v>0</v>
      </c>
      <c r="T90" s="139">
        <f t="shared" si="14"/>
        <v>0</v>
      </c>
      <c r="U90" s="139">
        <f t="shared" si="14"/>
        <v>0</v>
      </c>
      <c r="V90" s="139">
        <f t="shared" si="14"/>
        <v>114000</v>
      </c>
      <c r="W90" s="139">
        <f t="shared" si="14"/>
        <v>0</v>
      </c>
      <c r="X90" s="139">
        <f t="shared" si="14"/>
        <v>-114000</v>
      </c>
      <c r="Y90" s="139">
        <f t="shared" si="14"/>
        <v>0</v>
      </c>
      <c r="Z90" s="139">
        <f t="shared" si="14"/>
        <v>0</v>
      </c>
      <c r="AA90" s="407">
        <f t="shared" si="12"/>
        <v>0</v>
      </c>
      <c r="AC90" s="406"/>
      <c r="AD90" s="515"/>
      <c r="AE90" s="497"/>
      <c r="AF90" s="497"/>
      <c r="AG90" s="497"/>
      <c r="AH90" s="497"/>
    </row>
    <row r="91" spans="1:34" s="36" customFormat="1" ht="15.75" hidden="1">
      <c r="A91" s="699"/>
      <c r="B91" s="625"/>
      <c r="C91" s="167"/>
      <c r="D91" s="527" t="s">
        <v>1453</v>
      </c>
      <c r="E91" s="172"/>
      <c r="F91" s="229"/>
      <c r="G91" s="172"/>
      <c r="H91" s="420">
        <v>3110</v>
      </c>
      <c r="I91" s="169">
        <f>114000-114000</f>
        <v>0</v>
      </c>
      <c r="J91" s="169"/>
      <c r="K91" s="169"/>
      <c r="L91" s="74"/>
      <c r="M91" s="74"/>
      <c r="N91" s="439"/>
      <c r="O91" s="439"/>
      <c r="P91" s="439"/>
      <c r="Q91" s="439"/>
      <c r="R91" s="439"/>
      <c r="S91" s="439"/>
      <c r="T91" s="439"/>
      <c r="U91" s="439"/>
      <c r="V91" s="439">
        <f>114000</f>
        <v>114000</v>
      </c>
      <c r="W91" s="439"/>
      <c r="X91" s="439">
        <v>-114000</v>
      </c>
      <c r="Y91" s="439"/>
      <c r="Z91" s="439"/>
      <c r="AA91" s="407">
        <f t="shared" si="12"/>
        <v>0</v>
      </c>
      <c r="AC91" s="406"/>
      <c r="AD91" s="515"/>
      <c r="AE91" s="497"/>
      <c r="AF91" s="497"/>
      <c r="AG91" s="497"/>
      <c r="AH91" s="497"/>
    </row>
    <row r="92" spans="1:34" s="36" customFormat="1" ht="15.75">
      <c r="A92" s="44"/>
      <c r="B92" s="44"/>
      <c r="C92" s="167"/>
      <c r="D92" s="141"/>
      <c r="E92" s="172"/>
      <c r="F92" s="143"/>
      <c r="G92" s="172"/>
      <c r="H92" s="420"/>
      <c r="I92" s="144"/>
      <c r="J92" s="144"/>
      <c r="K92" s="169"/>
      <c r="L92" s="144"/>
      <c r="M92" s="169"/>
      <c r="N92" s="407"/>
      <c r="O92" s="439"/>
      <c r="P92" s="439"/>
      <c r="Q92" s="439"/>
      <c r="R92" s="439"/>
      <c r="S92" s="439"/>
      <c r="T92" s="439"/>
      <c r="U92" s="439"/>
      <c r="V92" s="439"/>
      <c r="W92" s="439"/>
      <c r="X92" s="439"/>
      <c r="Y92" s="439"/>
      <c r="Z92" s="439"/>
      <c r="AA92" s="407">
        <f t="shared" si="12"/>
        <v>0</v>
      </c>
      <c r="AC92" s="406"/>
      <c r="AD92" s="515"/>
      <c r="AE92" s="497"/>
      <c r="AF92" s="497"/>
      <c r="AG92" s="497"/>
      <c r="AH92" s="497"/>
    </row>
    <row r="93" spans="1:34" s="30" customFormat="1" ht="15.75" hidden="1">
      <c r="A93" s="129" t="s">
        <v>202</v>
      </c>
      <c r="B93" s="623" t="s">
        <v>776</v>
      </c>
      <c r="C93" s="623"/>
      <c r="D93" s="623"/>
      <c r="E93" s="185"/>
      <c r="F93" s="186"/>
      <c r="G93" s="185"/>
      <c r="H93" s="422"/>
      <c r="I93" s="187" t="e">
        <f>I94</f>
        <v>#REF!</v>
      </c>
      <c r="J93" s="464"/>
      <c r="K93" s="187"/>
      <c r="L93" s="187">
        <f>L94</f>
        <v>0</v>
      </c>
      <c r="M93" s="187"/>
      <c r="N93" s="407"/>
      <c r="O93" s="439"/>
      <c r="P93" s="439"/>
      <c r="Q93" s="439"/>
      <c r="R93" s="439"/>
      <c r="S93" s="439"/>
      <c r="T93" s="439"/>
      <c r="U93" s="439"/>
      <c r="V93" s="439"/>
      <c r="W93" s="439"/>
      <c r="X93" s="439"/>
      <c r="Y93" s="439"/>
      <c r="Z93" s="439"/>
      <c r="AA93" s="407">
        <f t="shared" si="12"/>
        <v>0</v>
      </c>
      <c r="AC93" s="59"/>
      <c r="AD93" s="514"/>
      <c r="AE93" s="509"/>
      <c r="AF93" s="509"/>
      <c r="AG93" s="509"/>
      <c r="AH93" s="509"/>
    </row>
    <row r="94" spans="1:34" s="30" customFormat="1" ht="31.5" hidden="1">
      <c r="A94" s="581" t="s">
        <v>40</v>
      </c>
      <c r="B94" s="620" t="s">
        <v>1100</v>
      </c>
      <c r="C94" s="148"/>
      <c r="D94" s="33" t="s">
        <v>2099</v>
      </c>
      <c r="E94" s="158"/>
      <c r="F94" s="159"/>
      <c r="G94" s="158"/>
      <c r="H94" s="419"/>
      <c r="I94" s="139" t="e">
        <f>J94+K94+L94+M94+#REF!+#REF!</f>
        <v>#REF!</v>
      </c>
      <c r="J94" s="461"/>
      <c r="K94" s="461"/>
      <c r="L94" s="139">
        <f>L95</f>
        <v>0</v>
      </c>
      <c r="M94" s="461"/>
      <c r="N94" s="407"/>
      <c r="O94" s="439"/>
      <c r="P94" s="439"/>
      <c r="Q94" s="439"/>
      <c r="R94" s="439"/>
      <c r="S94" s="439"/>
      <c r="T94" s="439"/>
      <c r="U94" s="439"/>
      <c r="V94" s="439"/>
      <c r="W94" s="439"/>
      <c r="X94" s="439"/>
      <c r="Y94" s="439"/>
      <c r="Z94" s="439"/>
      <c r="AA94" s="407">
        <f t="shared" si="12"/>
        <v>0</v>
      </c>
      <c r="AC94" s="59"/>
      <c r="AD94" s="514"/>
      <c r="AE94" s="509"/>
      <c r="AF94" s="509"/>
      <c r="AG94" s="509"/>
      <c r="AH94" s="509"/>
    </row>
    <row r="95" spans="1:34" s="30" customFormat="1" ht="47.25" hidden="1">
      <c r="A95" s="645"/>
      <c r="B95" s="645"/>
      <c r="C95" s="175" t="s">
        <v>270</v>
      </c>
      <c r="D95" s="141" t="s">
        <v>2100</v>
      </c>
      <c r="E95" s="176"/>
      <c r="F95" s="177"/>
      <c r="G95" s="176"/>
      <c r="H95" s="421"/>
      <c r="I95" s="144" t="e">
        <f>J95+K95+L95+M95+#REF!+#REF!</f>
        <v>#REF!</v>
      </c>
      <c r="J95" s="463"/>
      <c r="K95" s="463"/>
      <c r="L95" s="463">
        <f>2.98-2.98</f>
        <v>0</v>
      </c>
      <c r="M95" s="463"/>
      <c r="N95" s="407"/>
      <c r="O95" s="439"/>
      <c r="P95" s="439"/>
      <c r="Q95" s="439"/>
      <c r="R95" s="439"/>
      <c r="S95" s="439"/>
      <c r="T95" s="439"/>
      <c r="U95" s="439"/>
      <c r="V95" s="439"/>
      <c r="W95" s="439"/>
      <c r="X95" s="439"/>
      <c r="Y95" s="439"/>
      <c r="Z95" s="439"/>
      <c r="AA95" s="407">
        <f t="shared" si="12"/>
        <v>0</v>
      </c>
      <c r="AC95" s="59"/>
      <c r="AD95" s="514"/>
      <c r="AE95" s="509"/>
      <c r="AF95" s="509"/>
      <c r="AG95" s="509"/>
      <c r="AH95" s="509"/>
    </row>
    <row r="96" spans="1:34" s="30" customFormat="1" ht="15.75" hidden="1">
      <c r="A96" s="44"/>
      <c r="B96" s="44"/>
      <c r="C96" s="167"/>
      <c r="D96" s="141"/>
      <c r="E96" s="172"/>
      <c r="F96" s="143"/>
      <c r="G96" s="172"/>
      <c r="H96" s="420"/>
      <c r="I96" s="144"/>
      <c r="J96" s="144"/>
      <c r="K96" s="169"/>
      <c r="L96" s="169"/>
      <c r="M96" s="169"/>
      <c r="N96" s="407"/>
      <c r="O96" s="439"/>
      <c r="P96" s="439"/>
      <c r="Q96" s="439"/>
      <c r="R96" s="439"/>
      <c r="S96" s="439"/>
      <c r="T96" s="439"/>
      <c r="U96" s="439"/>
      <c r="V96" s="439"/>
      <c r="W96" s="439"/>
      <c r="X96" s="439"/>
      <c r="Y96" s="439"/>
      <c r="Z96" s="439"/>
      <c r="AA96" s="407">
        <f t="shared" si="12"/>
        <v>0</v>
      </c>
      <c r="AC96" s="59"/>
      <c r="AD96" s="514"/>
      <c r="AE96" s="509"/>
      <c r="AF96" s="509"/>
      <c r="AG96" s="509"/>
      <c r="AH96" s="509"/>
    </row>
    <row r="97" spans="1:34" s="45" customFormat="1" ht="12" customHeight="1" hidden="1">
      <c r="A97" s="135"/>
      <c r="B97" s="141"/>
      <c r="C97" s="135"/>
      <c r="D97" s="141"/>
      <c r="E97" s="142"/>
      <c r="F97" s="143"/>
      <c r="G97" s="172"/>
      <c r="H97" s="420"/>
      <c r="I97" s="169" t="e">
        <f>J97+K97+L97+M97+#REF!+#REF!</f>
        <v>#REF!</v>
      </c>
      <c r="J97" s="144"/>
      <c r="K97" s="144"/>
      <c r="L97" s="144"/>
      <c r="M97" s="144"/>
      <c r="N97" s="407"/>
      <c r="O97" s="407"/>
      <c r="P97" s="407"/>
      <c r="Q97" s="407"/>
      <c r="R97" s="407"/>
      <c r="S97" s="407"/>
      <c r="T97" s="407"/>
      <c r="U97" s="407"/>
      <c r="V97" s="407"/>
      <c r="W97" s="407"/>
      <c r="X97" s="407"/>
      <c r="Y97" s="407"/>
      <c r="Z97" s="407"/>
      <c r="AA97" s="407">
        <f t="shared" si="12"/>
        <v>0</v>
      </c>
      <c r="AC97" s="499"/>
      <c r="AD97" s="513"/>
      <c r="AE97" s="508"/>
      <c r="AF97" s="508"/>
      <c r="AG97" s="508"/>
      <c r="AH97" s="508"/>
    </row>
    <row r="98" spans="1:62" s="26" customFormat="1" ht="15.75" customHeight="1">
      <c r="A98" s="129" t="s">
        <v>1642</v>
      </c>
      <c r="B98" s="623" t="s">
        <v>178</v>
      </c>
      <c r="C98" s="623"/>
      <c r="D98" s="623"/>
      <c r="E98" s="193"/>
      <c r="F98" s="194"/>
      <c r="G98" s="130"/>
      <c r="H98" s="415"/>
      <c r="I98" s="132">
        <f>I99+I106+I202+I365+I367+I376+I380+I383+I389+I397+I403+I420+I428+I436+I469+I474+I378+I498+I372+I426+I418+I496</f>
        <v>31904905.78</v>
      </c>
      <c r="J98" s="132">
        <f aca="true" t="shared" si="15" ref="J98:Z98">J99+J106+J202+J365+J367+J376+J380+J383+J389+J397+J403+J420+J428+J436+J469+J474+J378+J498+J372+J426+J418+J496</f>
        <v>0</v>
      </c>
      <c r="K98" s="132">
        <f t="shared" si="15"/>
        <v>0</v>
      </c>
      <c r="L98" s="132">
        <f t="shared" si="15"/>
        <v>1946780.03</v>
      </c>
      <c r="M98" s="132">
        <f t="shared" si="15"/>
        <v>26584044.75</v>
      </c>
      <c r="N98" s="132">
        <f t="shared" si="15"/>
        <v>0</v>
      </c>
      <c r="O98" s="132">
        <f t="shared" si="15"/>
        <v>1946780.03</v>
      </c>
      <c r="P98" s="132">
        <f t="shared" si="15"/>
        <v>0</v>
      </c>
      <c r="Q98" s="132">
        <f t="shared" si="15"/>
        <v>0</v>
      </c>
      <c r="R98" s="132">
        <f t="shared" si="15"/>
        <v>4989369.72</v>
      </c>
      <c r="S98" s="132">
        <f t="shared" si="15"/>
        <v>3928792.2</v>
      </c>
      <c r="T98" s="132">
        <f t="shared" si="15"/>
        <v>3646785.73</v>
      </c>
      <c r="U98" s="132">
        <f t="shared" si="15"/>
        <v>7994285.02</v>
      </c>
      <c r="V98" s="132">
        <f t="shared" si="15"/>
        <v>3175300.16</v>
      </c>
      <c r="W98" s="132">
        <f t="shared" si="15"/>
        <v>1834998.32</v>
      </c>
      <c r="X98" s="132">
        <f t="shared" si="15"/>
        <v>3081651.6</v>
      </c>
      <c r="Y98" s="132">
        <f t="shared" si="15"/>
        <v>1306943</v>
      </c>
      <c r="Z98" s="132">
        <f t="shared" si="15"/>
        <v>10655471.61</v>
      </c>
      <c r="AA98" s="407">
        <f t="shared" si="12"/>
        <v>19942491.17</v>
      </c>
      <c r="AB98" s="45"/>
      <c r="AC98" s="499"/>
      <c r="AD98" s="513"/>
      <c r="AE98" s="508"/>
      <c r="AF98" s="508"/>
      <c r="AG98" s="508"/>
      <c r="AH98" s="508"/>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row>
    <row r="99" spans="1:62" s="48" customFormat="1" ht="33" customHeight="1" hidden="1">
      <c r="A99" s="585" t="s">
        <v>1756</v>
      </c>
      <c r="B99" s="586" t="s">
        <v>966</v>
      </c>
      <c r="C99" s="195"/>
      <c r="D99" s="136" t="s">
        <v>1456</v>
      </c>
      <c r="E99" s="137"/>
      <c r="F99" s="159"/>
      <c r="G99" s="137"/>
      <c r="H99" s="416"/>
      <c r="I99" s="139">
        <f>I104</f>
        <v>0</v>
      </c>
      <c r="J99" s="139">
        <f>SUM(J100:J104)</f>
        <v>0</v>
      </c>
      <c r="K99" s="139">
        <f>SUM(K100:K104)</f>
        <v>0</v>
      </c>
      <c r="L99" s="139">
        <f>SUM(L100:L104)</f>
        <v>0</v>
      </c>
      <c r="M99" s="139">
        <f>SUM(M100:M104)</f>
        <v>100000</v>
      </c>
      <c r="N99" s="139">
        <f aca="true" t="shared" si="16" ref="N99:Z99">SUM(N100:N104)</f>
        <v>0</v>
      </c>
      <c r="O99" s="139">
        <f t="shared" si="16"/>
        <v>0</v>
      </c>
      <c r="P99" s="139">
        <f t="shared" si="16"/>
        <v>0</v>
      </c>
      <c r="Q99" s="139">
        <f t="shared" si="16"/>
        <v>0</v>
      </c>
      <c r="R99" s="139">
        <f t="shared" si="16"/>
        <v>0</v>
      </c>
      <c r="S99" s="139">
        <f t="shared" si="16"/>
        <v>0</v>
      </c>
      <c r="T99" s="139">
        <f t="shared" si="16"/>
        <v>0</v>
      </c>
      <c r="U99" s="139">
        <f t="shared" si="16"/>
        <v>100000</v>
      </c>
      <c r="V99" s="139">
        <f t="shared" si="16"/>
        <v>0</v>
      </c>
      <c r="W99" s="139">
        <f t="shared" si="16"/>
        <v>-100000</v>
      </c>
      <c r="X99" s="139">
        <f t="shared" si="16"/>
        <v>0</v>
      </c>
      <c r="Y99" s="139">
        <f t="shared" si="16"/>
        <v>0</v>
      </c>
      <c r="Z99" s="139">
        <f t="shared" si="16"/>
        <v>0</v>
      </c>
      <c r="AA99" s="407">
        <f t="shared" si="12"/>
        <v>0</v>
      </c>
      <c r="AB99" s="30"/>
      <c r="AC99" s="59"/>
      <c r="AD99" s="514"/>
      <c r="AE99" s="509"/>
      <c r="AF99" s="509"/>
      <c r="AG99" s="509"/>
      <c r="AH99" s="509"/>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row>
    <row r="100" spans="1:34" s="45" customFormat="1" ht="31.5" hidden="1">
      <c r="A100" s="585"/>
      <c r="B100" s="586"/>
      <c r="C100" s="135" t="s">
        <v>179</v>
      </c>
      <c r="D100" s="141" t="s">
        <v>932</v>
      </c>
      <c r="E100" s="142"/>
      <c r="F100" s="143"/>
      <c r="G100" s="172"/>
      <c r="H100" s="420"/>
      <c r="I100" s="144" t="e">
        <f>J100+K100+L100+M100+#REF!+#REF!</f>
        <v>#REF!</v>
      </c>
      <c r="J100" s="169"/>
      <c r="K100" s="169"/>
      <c r="L100" s="144"/>
      <c r="M100" s="169"/>
      <c r="N100" s="407"/>
      <c r="O100" s="407"/>
      <c r="P100" s="407"/>
      <c r="Q100" s="407"/>
      <c r="R100" s="407"/>
      <c r="S100" s="407"/>
      <c r="T100" s="407"/>
      <c r="U100" s="407"/>
      <c r="V100" s="407"/>
      <c r="W100" s="407"/>
      <c r="X100" s="407"/>
      <c r="Y100" s="407"/>
      <c r="Z100" s="407"/>
      <c r="AA100" s="407">
        <f t="shared" si="12"/>
        <v>0</v>
      </c>
      <c r="AC100" s="499"/>
      <c r="AD100" s="513"/>
      <c r="AE100" s="508"/>
      <c r="AF100" s="508"/>
      <c r="AG100" s="508"/>
      <c r="AH100" s="508"/>
    </row>
    <row r="101" spans="1:34" ht="31.5" hidden="1">
      <c r="A101" s="585"/>
      <c r="B101" s="586"/>
      <c r="C101" s="135"/>
      <c r="D101" s="141" t="s">
        <v>2011</v>
      </c>
      <c r="E101" s="142"/>
      <c r="F101" s="143"/>
      <c r="G101" s="172"/>
      <c r="H101" s="420"/>
      <c r="I101" s="144" t="e">
        <f>J101+K101+L101+M101+#REF!+#REF!</f>
        <v>#REF!</v>
      </c>
      <c r="J101" s="169"/>
      <c r="K101" s="169"/>
      <c r="L101" s="144"/>
      <c r="M101" s="169"/>
      <c r="N101" s="407"/>
      <c r="O101" s="407"/>
      <c r="P101" s="407"/>
      <c r="Q101" s="407"/>
      <c r="R101" s="407"/>
      <c r="S101" s="407"/>
      <c r="T101" s="407"/>
      <c r="U101" s="407"/>
      <c r="V101" s="407"/>
      <c r="W101" s="407"/>
      <c r="X101" s="407"/>
      <c r="Y101" s="407"/>
      <c r="Z101" s="407"/>
      <c r="AA101" s="407">
        <f t="shared" si="12"/>
        <v>0</v>
      </c>
      <c r="AC101" s="499"/>
      <c r="AD101" s="513"/>
      <c r="AE101" s="508"/>
      <c r="AF101" s="508"/>
      <c r="AG101" s="508"/>
      <c r="AH101" s="508"/>
    </row>
    <row r="102" spans="1:34" ht="31.5" hidden="1">
      <c r="A102" s="585"/>
      <c r="B102" s="586"/>
      <c r="C102" s="135"/>
      <c r="D102" s="141" t="s">
        <v>2012</v>
      </c>
      <c r="E102" s="142"/>
      <c r="F102" s="143"/>
      <c r="G102" s="172"/>
      <c r="H102" s="420"/>
      <c r="I102" s="144" t="e">
        <f>J102+K102+L102+M102+#REF!+#REF!</f>
        <v>#REF!</v>
      </c>
      <c r="J102" s="169"/>
      <c r="K102" s="169"/>
      <c r="L102" s="144"/>
      <c r="M102" s="169"/>
      <c r="N102" s="407"/>
      <c r="O102" s="407"/>
      <c r="P102" s="407"/>
      <c r="Q102" s="407"/>
      <c r="R102" s="407"/>
      <c r="S102" s="407"/>
      <c r="T102" s="407"/>
      <c r="U102" s="407"/>
      <c r="V102" s="407"/>
      <c r="W102" s="407"/>
      <c r="X102" s="407"/>
      <c r="Y102" s="407"/>
      <c r="Z102" s="407"/>
      <c r="AA102" s="407">
        <f t="shared" si="12"/>
        <v>0</v>
      </c>
      <c r="AC102" s="499"/>
      <c r="AD102" s="513"/>
      <c r="AE102" s="508"/>
      <c r="AF102" s="508"/>
      <c r="AG102" s="508"/>
      <c r="AH102" s="508"/>
    </row>
    <row r="103" spans="1:34" ht="31.5" hidden="1">
      <c r="A103" s="585"/>
      <c r="B103" s="586"/>
      <c r="C103" s="135"/>
      <c r="D103" s="141" t="s">
        <v>1196</v>
      </c>
      <c r="E103" s="142"/>
      <c r="F103" s="143"/>
      <c r="G103" s="172"/>
      <c r="H103" s="420"/>
      <c r="I103" s="144" t="e">
        <f>J103+K103+L103+M103+#REF!+#REF!</f>
        <v>#REF!</v>
      </c>
      <c r="J103" s="169"/>
      <c r="K103" s="169"/>
      <c r="L103" s="144"/>
      <c r="M103" s="169"/>
      <c r="N103" s="407"/>
      <c r="O103" s="407"/>
      <c r="P103" s="407"/>
      <c r="Q103" s="407"/>
      <c r="R103" s="407"/>
      <c r="S103" s="407"/>
      <c r="T103" s="407"/>
      <c r="U103" s="407"/>
      <c r="V103" s="407"/>
      <c r="W103" s="407"/>
      <c r="X103" s="407"/>
      <c r="Y103" s="407"/>
      <c r="Z103" s="407"/>
      <c r="AA103" s="407">
        <f t="shared" si="12"/>
        <v>0</v>
      </c>
      <c r="AC103" s="499"/>
      <c r="AD103" s="513"/>
      <c r="AE103" s="508"/>
      <c r="AF103" s="508"/>
      <c r="AG103" s="508"/>
      <c r="AH103" s="508"/>
    </row>
    <row r="104" spans="1:34" ht="31.5" hidden="1">
      <c r="A104" s="585"/>
      <c r="B104" s="586"/>
      <c r="C104" s="135" t="s">
        <v>1197</v>
      </c>
      <c r="D104" s="141" t="s">
        <v>989</v>
      </c>
      <c r="E104" s="142"/>
      <c r="F104" s="143"/>
      <c r="G104" s="172"/>
      <c r="H104" s="417">
        <v>3110</v>
      </c>
      <c r="I104" s="144">
        <f>100000-100000</f>
        <v>0</v>
      </c>
      <c r="J104" s="169"/>
      <c r="K104" s="169"/>
      <c r="L104" s="144"/>
      <c r="M104" s="144">
        <v>100000</v>
      </c>
      <c r="N104" s="407"/>
      <c r="O104" s="407"/>
      <c r="P104" s="407"/>
      <c r="Q104" s="407"/>
      <c r="R104" s="407"/>
      <c r="S104" s="407"/>
      <c r="T104" s="407"/>
      <c r="U104" s="407">
        <v>100000</v>
      </c>
      <c r="V104" s="407"/>
      <c r="W104" s="407">
        <v>-100000</v>
      </c>
      <c r="X104" s="407"/>
      <c r="Y104" s="407"/>
      <c r="Z104" s="407"/>
      <c r="AA104" s="407">
        <f t="shared" si="12"/>
        <v>0</v>
      </c>
      <c r="AC104" s="499"/>
      <c r="AD104" s="513">
        <v>100000</v>
      </c>
      <c r="AE104" s="508"/>
      <c r="AF104" s="508"/>
      <c r="AG104" s="508"/>
      <c r="AH104" s="508"/>
    </row>
    <row r="105" spans="1:34" s="30" customFormat="1" ht="18.75" customHeight="1">
      <c r="A105" s="157" t="s">
        <v>1210</v>
      </c>
      <c r="B105" s="166" t="s">
        <v>1211</v>
      </c>
      <c r="C105" s="167"/>
      <c r="D105" s="196" t="s">
        <v>1106</v>
      </c>
      <c r="E105" s="172"/>
      <c r="F105" s="143"/>
      <c r="G105" s="172"/>
      <c r="H105" s="420"/>
      <c r="I105" s="169">
        <f>I106+I202+I365+I367+I376+I380</f>
        <v>20554488.89</v>
      </c>
      <c r="J105" s="169">
        <f aca="true" t="shared" si="17" ref="J105:Z105">J106+J202+J380+J367+J376+J372+J365</f>
        <v>0</v>
      </c>
      <c r="K105" s="169">
        <f t="shared" si="17"/>
        <v>0</v>
      </c>
      <c r="L105" s="169">
        <f t="shared" si="17"/>
        <v>1350936.25</v>
      </c>
      <c r="M105" s="169">
        <f t="shared" si="17"/>
        <v>15142395.04</v>
      </c>
      <c r="N105" s="169">
        <f t="shared" si="17"/>
        <v>0</v>
      </c>
      <c r="O105" s="169">
        <f t="shared" si="17"/>
        <v>1350936.25</v>
      </c>
      <c r="P105" s="169">
        <f t="shared" si="17"/>
        <v>0</v>
      </c>
      <c r="Q105" s="169">
        <f t="shared" si="17"/>
        <v>0</v>
      </c>
      <c r="R105" s="169">
        <f t="shared" si="17"/>
        <v>1466270</v>
      </c>
      <c r="S105" s="169">
        <f t="shared" si="17"/>
        <v>2091887</v>
      </c>
      <c r="T105" s="169">
        <f t="shared" si="17"/>
        <v>2506867.4</v>
      </c>
      <c r="U105" s="169">
        <f t="shared" si="17"/>
        <v>6344469.62</v>
      </c>
      <c r="V105" s="169">
        <f t="shared" si="17"/>
        <v>1646105.5</v>
      </c>
      <c r="W105" s="169">
        <f t="shared" si="17"/>
        <v>1752610.12</v>
      </c>
      <c r="X105" s="169">
        <f t="shared" si="17"/>
        <v>2270400</v>
      </c>
      <c r="Y105" s="169">
        <f t="shared" si="17"/>
        <v>1154943</v>
      </c>
      <c r="Z105" s="169">
        <f t="shared" si="17"/>
        <v>4763152.31</v>
      </c>
      <c r="AA105" s="407">
        <f t="shared" si="12"/>
        <v>14666393.58</v>
      </c>
      <c r="AC105" s="59"/>
      <c r="AD105" s="514"/>
      <c r="AE105" s="509"/>
      <c r="AF105" s="509"/>
      <c r="AG105" s="509"/>
      <c r="AH105" s="509"/>
    </row>
    <row r="106" spans="1:34" ht="15.75">
      <c r="A106" s="581" t="s">
        <v>1212</v>
      </c>
      <c r="B106" s="605" t="s">
        <v>104</v>
      </c>
      <c r="C106" s="167"/>
      <c r="D106" s="136" t="s">
        <v>1774</v>
      </c>
      <c r="E106" s="137"/>
      <c r="F106" s="159"/>
      <c r="G106" s="137"/>
      <c r="H106" s="416"/>
      <c r="I106" s="139">
        <f aca="true" t="shared" si="18" ref="I106:Z106">I108+I111+I125+I134+I140+I144+I145+I152+I173+I174+I178+I179+I183+I184+I185+I186+I187+I201+I199+I153+I200</f>
        <v>5199327.64</v>
      </c>
      <c r="J106" s="139">
        <f t="shared" si="18"/>
        <v>0</v>
      </c>
      <c r="K106" s="139">
        <f t="shared" si="18"/>
        <v>0</v>
      </c>
      <c r="L106" s="139">
        <f t="shared" si="18"/>
        <v>228126.04</v>
      </c>
      <c r="M106" s="139">
        <f t="shared" si="18"/>
        <v>3149055</v>
      </c>
      <c r="N106" s="139">
        <f t="shared" si="18"/>
        <v>0</v>
      </c>
      <c r="O106" s="139">
        <f t="shared" si="18"/>
        <v>228126.04</v>
      </c>
      <c r="P106" s="139">
        <f t="shared" si="18"/>
        <v>0</v>
      </c>
      <c r="Q106" s="139">
        <f t="shared" si="18"/>
        <v>0</v>
      </c>
      <c r="R106" s="139">
        <f t="shared" si="18"/>
        <v>823370</v>
      </c>
      <c r="S106" s="139">
        <f t="shared" si="18"/>
        <v>621161</v>
      </c>
      <c r="T106" s="139">
        <f t="shared" si="18"/>
        <v>477500</v>
      </c>
      <c r="U106" s="139">
        <f t="shared" si="18"/>
        <v>1453943.6</v>
      </c>
      <c r="V106" s="139">
        <f t="shared" si="18"/>
        <v>276327</v>
      </c>
      <c r="W106" s="139">
        <f t="shared" si="18"/>
        <v>418800</v>
      </c>
      <c r="X106" s="139">
        <f t="shared" si="18"/>
        <v>431100</v>
      </c>
      <c r="Y106" s="139">
        <f t="shared" si="18"/>
        <v>469000</v>
      </c>
      <c r="Z106" s="139">
        <f t="shared" si="18"/>
        <v>1321924.62</v>
      </c>
      <c r="AA106" s="407">
        <f t="shared" si="12"/>
        <v>3408403.02</v>
      </c>
      <c r="AC106" s="499"/>
      <c r="AD106" s="513"/>
      <c r="AE106" s="508"/>
      <c r="AF106" s="508"/>
      <c r="AG106" s="508"/>
      <c r="AH106" s="508"/>
    </row>
    <row r="107" spans="1:34" ht="31.5" customHeight="1" hidden="1">
      <c r="A107" s="582"/>
      <c r="B107" s="607"/>
      <c r="C107" s="167" t="s">
        <v>1151</v>
      </c>
      <c r="D107" s="141" t="s">
        <v>1152</v>
      </c>
      <c r="E107" s="142"/>
      <c r="F107" s="143"/>
      <c r="G107" s="172"/>
      <c r="H107" s="420"/>
      <c r="I107" s="144" t="e">
        <f>J107+K107+L107+M107+#REF!+#REF!</f>
        <v>#REF!</v>
      </c>
      <c r="J107" s="144"/>
      <c r="K107" s="144"/>
      <c r="L107" s="144"/>
      <c r="M107" s="144"/>
      <c r="N107" s="407"/>
      <c r="O107" s="407"/>
      <c r="P107" s="407"/>
      <c r="Q107" s="407"/>
      <c r="R107" s="407"/>
      <c r="S107" s="407"/>
      <c r="T107" s="407"/>
      <c r="U107" s="407"/>
      <c r="V107" s="407"/>
      <c r="W107" s="407"/>
      <c r="X107" s="407"/>
      <c r="Y107" s="407"/>
      <c r="Z107" s="407"/>
      <c r="AA107" s="407">
        <f t="shared" si="12"/>
        <v>0</v>
      </c>
      <c r="AC107" s="499"/>
      <c r="AD107" s="513"/>
      <c r="AE107" s="508"/>
      <c r="AF107" s="508"/>
      <c r="AG107" s="508"/>
      <c r="AH107" s="508"/>
    </row>
    <row r="108" spans="1:34" ht="31.5">
      <c r="A108" s="582"/>
      <c r="B108" s="607"/>
      <c r="C108" s="614" t="s">
        <v>1153</v>
      </c>
      <c r="D108" s="141" t="s">
        <v>1157</v>
      </c>
      <c r="E108" s="142"/>
      <c r="F108" s="143"/>
      <c r="G108" s="172"/>
      <c r="H108" s="417">
        <v>3132</v>
      </c>
      <c r="I108" s="144">
        <v>923.52</v>
      </c>
      <c r="J108" s="144">
        <f>J109+J110</f>
        <v>0</v>
      </c>
      <c r="K108" s="144">
        <f>K109+K110</f>
        <v>0</v>
      </c>
      <c r="L108" s="144">
        <v>923.52</v>
      </c>
      <c r="M108" s="144">
        <f>M109+M110</f>
        <v>0</v>
      </c>
      <c r="N108" s="407"/>
      <c r="O108" s="144">
        <v>923.52</v>
      </c>
      <c r="P108" s="407"/>
      <c r="Q108" s="407"/>
      <c r="R108" s="407"/>
      <c r="S108" s="407"/>
      <c r="T108" s="407"/>
      <c r="U108" s="407"/>
      <c r="V108" s="407"/>
      <c r="W108" s="407"/>
      <c r="X108" s="407"/>
      <c r="Y108" s="407"/>
      <c r="Z108" s="144">
        <v>923.52</v>
      </c>
      <c r="AA108" s="407">
        <f t="shared" si="12"/>
        <v>0</v>
      </c>
      <c r="AC108" s="499"/>
      <c r="AD108" s="513">
        <v>923.52</v>
      </c>
      <c r="AE108" s="508"/>
      <c r="AF108" s="508"/>
      <c r="AG108" s="508"/>
      <c r="AH108" s="508"/>
    </row>
    <row r="109" spans="1:34" ht="15.75" customHeight="1" hidden="1">
      <c r="A109" s="582"/>
      <c r="B109" s="607"/>
      <c r="C109" s="615"/>
      <c r="D109" s="198" t="s">
        <v>1158</v>
      </c>
      <c r="E109" s="199">
        <v>80</v>
      </c>
      <c r="F109" s="200">
        <f>100%-((E109-G109)/E109)</f>
        <v>1</v>
      </c>
      <c r="G109" s="199">
        <v>80</v>
      </c>
      <c r="H109" s="423"/>
      <c r="I109" s="201">
        <v>0</v>
      </c>
      <c r="J109" s="201"/>
      <c r="K109" s="201"/>
      <c r="L109" s="201"/>
      <c r="M109" s="201"/>
      <c r="N109" s="407"/>
      <c r="O109" s="201">
        <v>0</v>
      </c>
      <c r="P109" s="407"/>
      <c r="Q109" s="407"/>
      <c r="R109" s="407"/>
      <c r="S109" s="407"/>
      <c r="T109" s="407"/>
      <c r="U109" s="407"/>
      <c r="V109" s="407"/>
      <c r="W109" s="407"/>
      <c r="X109" s="407"/>
      <c r="Y109" s="407"/>
      <c r="Z109" s="201">
        <v>0</v>
      </c>
      <c r="AA109" s="407">
        <f t="shared" si="12"/>
        <v>0</v>
      </c>
      <c r="AC109" s="499"/>
      <c r="AD109" s="513"/>
      <c r="AE109" s="508"/>
      <c r="AF109" s="508"/>
      <c r="AG109" s="508"/>
      <c r="AH109" s="508"/>
    </row>
    <row r="110" spans="1:34" ht="15.75" customHeight="1" hidden="1">
      <c r="A110" s="582"/>
      <c r="B110" s="607"/>
      <c r="C110" s="616"/>
      <c r="D110" s="198" t="s">
        <v>1159</v>
      </c>
      <c r="E110" s="199">
        <v>45</v>
      </c>
      <c r="F110" s="200">
        <f>100%-((E110-G110)/E110)</f>
        <v>1</v>
      </c>
      <c r="G110" s="199">
        <v>45</v>
      </c>
      <c r="H110" s="423"/>
      <c r="I110" s="201">
        <v>0</v>
      </c>
      <c r="J110" s="201"/>
      <c r="K110" s="201"/>
      <c r="L110" s="201"/>
      <c r="M110" s="201"/>
      <c r="N110" s="407"/>
      <c r="O110" s="201">
        <v>0</v>
      </c>
      <c r="P110" s="407"/>
      <c r="Q110" s="407"/>
      <c r="R110" s="407"/>
      <c r="S110" s="407"/>
      <c r="T110" s="407"/>
      <c r="U110" s="407"/>
      <c r="V110" s="407"/>
      <c r="W110" s="407"/>
      <c r="X110" s="407"/>
      <c r="Y110" s="407"/>
      <c r="Z110" s="201">
        <v>0</v>
      </c>
      <c r="AA110" s="407">
        <f t="shared" si="12"/>
        <v>0</v>
      </c>
      <c r="AC110" s="499"/>
      <c r="AD110" s="513"/>
      <c r="AE110" s="508"/>
      <c r="AF110" s="508"/>
      <c r="AG110" s="508"/>
      <c r="AH110" s="508"/>
    </row>
    <row r="111" spans="1:34" ht="31.5">
      <c r="A111" s="582"/>
      <c r="B111" s="607"/>
      <c r="C111" s="614" t="s">
        <v>181</v>
      </c>
      <c r="D111" s="141" t="s">
        <v>182</v>
      </c>
      <c r="E111" s="142"/>
      <c r="F111" s="143"/>
      <c r="G111" s="172"/>
      <c r="H111" s="417">
        <v>3110</v>
      </c>
      <c r="I111" s="144">
        <v>5400</v>
      </c>
      <c r="J111" s="144"/>
      <c r="K111" s="144"/>
      <c r="L111" s="144">
        <v>5400</v>
      </c>
      <c r="M111" s="144"/>
      <c r="N111" s="407"/>
      <c r="O111" s="144">
        <v>5400</v>
      </c>
      <c r="P111" s="407"/>
      <c r="Q111" s="407"/>
      <c r="R111" s="407"/>
      <c r="S111" s="407"/>
      <c r="T111" s="407"/>
      <c r="U111" s="407"/>
      <c r="V111" s="407"/>
      <c r="W111" s="407"/>
      <c r="X111" s="407"/>
      <c r="Y111" s="407"/>
      <c r="Z111" s="144">
        <f>5400-5400</f>
        <v>0</v>
      </c>
      <c r="AA111" s="407">
        <f t="shared" si="12"/>
        <v>5400</v>
      </c>
      <c r="AC111" s="499"/>
      <c r="AD111" s="513">
        <v>5400</v>
      </c>
      <c r="AE111" s="508"/>
      <c r="AF111" s="508"/>
      <c r="AG111" s="508"/>
      <c r="AH111" s="508"/>
    </row>
    <row r="112" spans="1:34" ht="15.75" customHeight="1" hidden="1">
      <c r="A112" s="582"/>
      <c r="B112" s="607"/>
      <c r="C112" s="615"/>
      <c r="D112" s="206" t="s">
        <v>183</v>
      </c>
      <c r="E112" s="142"/>
      <c r="F112" s="143"/>
      <c r="G112" s="172"/>
      <c r="H112" s="420"/>
      <c r="I112" s="201">
        <v>0</v>
      </c>
      <c r="J112" s="144"/>
      <c r="K112" s="144"/>
      <c r="L112" s="201"/>
      <c r="M112" s="144"/>
      <c r="N112" s="407"/>
      <c r="O112" s="201">
        <v>0</v>
      </c>
      <c r="P112" s="407"/>
      <c r="Q112" s="407"/>
      <c r="R112" s="407"/>
      <c r="S112" s="407"/>
      <c r="T112" s="407"/>
      <c r="U112" s="407"/>
      <c r="V112" s="407"/>
      <c r="W112" s="407"/>
      <c r="X112" s="407"/>
      <c r="Y112" s="407"/>
      <c r="Z112" s="201">
        <v>0</v>
      </c>
      <c r="AA112" s="407">
        <f t="shared" si="12"/>
        <v>0</v>
      </c>
      <c r="AC112" s="499"/>
      <c r="AD112" s="513"/>
      <c r="AE112" s="508"/>
      <c r="AF112" s="508"/>
      <c r="AG112" s="508"/>
      <c r="AH112" s="508"/>
    </row>
    <row r="113" spans="1:34" ht="15.75" customHeight="1" hidden="1">
      <c r="A113" s="582"/>
      <c r="B113" s="607"/>
      <c r="C113" s="616"/>
      <c r="D113" s="206" t="s">
        <v>184</v>
      </c>
      <c r="E113" s="142"/>
      <c r="F113" s="143"/>
      <c r="G113" s="172"/>
      <c r="H113" s="420"/>
      <c r="I113" s="201">
        <v>0</v>
      </c>
      <c r="J113" s="144"/>
      <c r="K113" s="144"/>
      <c r="L113" s="201"/>
      <c r="M113" s="144"/>
      <c r="N113" s="407"/>
      <c r="O113" s="201">
        <v>0</v>
      </c>
      <c r="P113" s="407"/>
      <c r="Q113" s="407"/>
      <c r="R113" s="407"/>
      <c r="S113" s="407"/>
      <c r="T113" s="407"/>
      <c r="U113" s="407"/>
      <c r="V113" s="407"/>
      <c r="W113" s="407"/>
      <c r="X113" s="407"/>
      <c r="Y113" s="407"/>
      <c r="Z113" s="201">
        <v>0</v>
      </c>
      <c r="AA113" s="407">
        <f t="shared" si="12"/>
        <v>0</v>
      </c>
      <c r="AC113" s="499"/>
      <c r="AD113" s="513"/>
      <c r="AE113" s="508"/>
      <c r="AF113" s="508"/>
      <c r="AG113" s="508"/>
      <c r="AH113" s="508"/>
    </row>
    <row r="114" spans="1:34" ht="31.5" customHeight="1" hidden="1">
      <c r="A114" s="582"/>
      <c r="B114" s="607"/>
      <c r="C114" s="167" t="s">
        <v>1460</v>
      </c>
      <c r="D114" s="141" t="s">
        <v>1461</v>
      </c>
      <c r="E114" s="142"/>
      <c r="F114" s="143"/>
      <c r="G114" s="172"/>
      <c r="H114" s="420"/>
      <c r="I114" s="144">
        <v>0</v>
      </c>
      <c r="J114" s="144"/>
      <c r="K114" s="144"/>
      <c r="L114" s="144"/>
      <c r="M114" s="144"/>
      <c r="N114" s="407"/>
      <c r="O114" s="144">
        <v>0</v>
      </c>
      <c r="P114" s="407"/>
      <c r="Q114" s="407"/>
      <c r="R114" s="407"/>
      <c r="S114" s="407"/>
      <c r="T114" s="407"/>
      <c r="U114" s="407"/>
      <c r="V114" s="407"/>
      <c r="W114" s="407"/>
      <c r="X114" s="407"/>
      <c r="Y114" s="407"/>
      <c r="Z114" s="144">
        <v>0</v>
      </c>
      <c r="AA114" s="407">
        <f t="shared" si="12"/>
        <v>0</v>
      </c>
      <c r="AC114" s="499"/>
      <c r="AD114" s="513"/>
      <c r="AE114" s="508"/>
      <c r="AF114" s="508"/>
      <c r="AG114" s="508"/>
      <c r="AH114" s="508"/>
    </row>
    <row r="115" spans="1:34" ht="47.25" customHeight="1" hidden="1">
      <c r="A115" s="582"/>
      <c r="B115" s="607"/>
      <c r="C115" s="614" t="s">
        <v>1462</v>
      </c>
      <c r="D115" s="141" t="s">
        <v>1758</v>
      </c>
      <c r="E115" s="142"/>
      <c r="F115" s="143"/>
      <c r="G115" s="172"/>
      <c r="H115" s="420"/>
      <c r="I115" s="144">
        <v>0</v>
      </c>
      <c r="J115" s="144"/>
      <c r="K115" s="144"/>
      <c r="L115" s="144">
        <f>SUM(L116:L119)</f>
        <v>0</v>
      </c>
      <c r="M115" s="144"/>
      <c r="N115" s="407"/>
      <c r="O115" s="144">
        <v>0</v>
      </c>
      <c r="P115" s="407"/>
      <c r="Q115" s="407"/>
      <c r="R115" s="407"/>
      <c r="S115" s="407"/>
      <c r="T115" s="407"/>
      <c r="U115" s="407"/>
      <c r="V115" s="407"/>
      <c r="W115" s="407"/>
      <c r="X115" s="407"/>
      <c r="Y115" s="407"/>
      <c r="Z115" s="144">
        <v>0</v>
      </c>
      <c r="AA115" s="407">
        <f t="shared" si="12"/>
        <v>0</v>
      </c>
      <c r="AC115" s="499"/>
      <c r="AD115" s="513"/>
      <c r="AE115" s="508"/>
      <c r="AF115" s="508"/>
      <c r="AG115" s="508"/>
      <c r="AH115" s="508"/>
    </row>
    <row r="116" spans="1:34" ht="15.75" customHeight="1" hidden="1">
      <c r="A116" s="582"/>
      <c r="B116" s="607"/>
      <c r="C116" s="615"/>
      <c r="D116" s="198" t="s">
        <v>1759</v>
      </c>
      <c r="E116" s="199"/>
      <c r="F116" s="143"/>
      <c r="G116" s="207"/>
      <c r="H116" s="424"/>
      <c r="I116" s="201">
        <v>0</v>
      </c>
      <c r="J116" s="201"/>
      <c r="K116" s="201"/>
      <c r="L116" s="201"/>
      <c r="M116" s="144"/>
      <c r="N116" s="407"/>
      <c r="O116" s="201">
        <v>0</v>
      </c>
      <c r="P116" s="407"/>
      <c r="Q116" s="407"/>
      <c r="R116" s="407"/>
      <c r="S116" s="407"/>
      <c r="T116" s="407"/>
      <c r="U116" s="407"/>
      <c r="V116" s="407"/>
      <c r="W116" s="407"/>
      <c r="X116" s="407"/>
      <c r="Y116" s="407"/>
      <c r="Z116" s="201">
        <v>0</v>
      </c>
      <c r="AA116" s="407">
        <f t="shared" si="12"/>
        <v>0</v>
      </c>
      <c r="AC116" s="499"/>
      <c r="AD116" s="513"/>
      <c r="AE116" s="508"/>
      <c r="AF116" s="508"/>
      <c r="AG116" s="508"/>
      <c r="AH116" s="508"/>
    </row>
    <row r="117" spans="1:34" ht="15.75" customHeight="1" hidden="1">
      <c r="A117" s="582"/>
      <c r="B117" s="607"/>
      <c r="C117" s="615"/>
      <c r="D117" s="198" t="s">
        <v>1760</v>
      </c>
      <c r="E117" s="199"/>
      <c r="F117" s="143"/>
      <c r="G117" s="207"/>
      <c r="H117" s="424"/>
      <c r="I117" s="201">
        <v>0</v>
      </c>
      <c r="J117" s="201"/>
      <c r="K117" s="201"/>
      <c r="L117" s="201"/>
      <c r="M117" s="144"/>
      <c r="N117" s="407"/>
      <c r="O117" s="201">
        <v>0</v>
      </c>
      <c r="P117" s="407"/>
      <c r="Q117" s="407"/>
      <c r="R117" s="407"/>
      <c r="S117" s="407"/>
      <c r="T117" s="407"/>
      <c r="U117" s="407"/>
      <c r="V117" s="407"/>
      <c r="W117" s="407"/>
      <c r="X117" s="407"/>
      <c r="Y117" s="407"/>
      <c r="Z117" s="201">
        <v>0</v>
      </c>
      <c r="AA117" s="407">
        <f t="shared" si="12"/>
        <v>0</v>
      </c>
      <c r="AC117" s="499"/>
      <c r="AD117" s="513"/>
      <c r="AE117" s="508"/>
      <c r="AF117" s="508"/>
      <c r="AG117" s="508"/>
      <c r="AH117" s="508"/>
    </row>
    <row r="118" spans="1:34" ht="15.75" customHeight="1" hidden="1">
      <c r="A118" s="582"/>
      <c r="B118" s="607"/>
      <c r="C118" s="615"/>
      <c r="D118" s="198" t="s">
        <v>1761</v>
      </c>
      <c r="E118" s="199"/>
      <c r="F118" s="143"/>
      <c r="G118" s="207"/>
      <c r="H118" s="424"/>
      <c r="I118" s="201">
        <v>0</v>
      </c>
      <c r="J118" s="201"/>
      <c r="K118" s="201"/>
      <c r="L118" s="201"/>
      <c r="M118" s="144"/>
      <c r="N118" s="407"/>
      <c r="O118" s="201">
        <v>0</v>
      </c>
      <c r="P118" s="407"/>
      <c r="Q118" s="407"/>
      <c r="R118" s="407"/>
      <c r="S118" s="407"/>
      <c r="T118" s="407"/>
      <c r="U118" s="407"/>
      <c r="V118" s="407"/>
      <c r="W118" s="407"/>
      <c r="X118" s="407"/>
      <c r="Y118" s="407"/>
      <c r="Z118" s="201">
        <v>0</v>
      </c>
      <c r="AA118" s="407">
        <f t="shared" si="12"/>
        <v>0</v>
      </c>
      <c r="AC118" s="499"/>
      <c r="AD118" s="513"/>
      <c r="AE118" s="508"/>
      <c r="AF118" s="508"/>
      <c r="AG118" s="508"/>
      <c r="AH118" s="508"/>
    </row>
    <row r="119" spans="1:34" ht="15.75" customHeight="1" hidden="1">
      <c r="A119" s="582"/>
      <c r="B119" s="607"/>
      <c r="C119" s="616"/>
      <c r="D119" s="198" t="s">
        <v>1762</v>
      </c>
      <c r="E119" s="199"/>
      <c r="F119" s="143"/>
      <c r="G119" s="207"/>
      <c r="H119" s="424"/>
      <c r="I119" s="201">
        <v>0</v>
      </c>
      <c r="J119" s="201"/>
      <c r="K119" s="201"/>
      <c r="L119" s="201"/>
      <c r="M119" s="144"/>
      <c r="N119" s="407"/>
      <c r="O119" s="201">
        <v>0</v>
      </c>
      <c r="P119" s="407"/>
      <c r="Q119" s="407"/>
      <c r="R119" s="407"/>
      <c r="S119" s="407"/>
      <c r="T119" s="407"/>
      <c r="U119" s="407"/>
      <c r="V119" s="407"/>
      <c r="W119" s="407"/>
      <c r="X119" s="407"/>
      <c r="Y119" s="407"/>
      <c r="Z119" s="201">
        <v>0</v>
      </c>
      <c r="AA119" s="407">
        <f t="shared" si="12"/>
        <v>0</v>
      </c>
      <c r="AC119" s="499"/>
      <c r="AD119" s="513"/>
      <c r="AE119" s="508"/>
      <c r="AF119" s="508"/>
      <c r="AG119" s="508"/>
      <c r="AH119" s="508"/>
    </row>
    <row r="120" spans="1:34" ht="31.5" customHeight="1" hidden="1">
      <c r="A120" s="582"/>
      <c r="B120" s="607"/>
      <c r="C120" s="167" t="s">
        <v>1763</v>
      </c>
      <c r="D120" s="208" t="s">
        <v>2103</v>
      </c>
      <c r="E120" s="142"/>
      <c r="F120" s="143"/>
      <c r="G120" s="172"/>
      <c r="H120" s="420"/>
      <c r="I120" s="144">
        <v>0</v>
      </c>
      <c r="J120" s="144"/>
      <c r="K120" s="144"/>
      <c r="L120" s="144"/>
      <c r="M120" s="144"/>
      <c r="N120" s="407"/>
      <c r="O120" s="144">
        <v>0</v>
      </c>
      <c r="P120" s="407"/>
      <c r="Q120" s="407"/>
      <c r="R120" s="407"/>
      <c r="S120" s="407"/>
      <c r="T120" s="407"/>
      <c r="U120" s="407"/>
      <c r="V120" s="407"/>
      <c r="W120" s="407"/>
      <c r="X120" s="407"/>
      <c r="Y120" s="407"/>
      <c r="Z120" s="144">
        <v>0</v>
      </c>
      <c r="AA120" s="407">
        <f t="shared" si="12"/>
        <v>0</v>
      </c>
      <c r="AC120" s="499"/>
      <c r="AD120" s="513"/>
      <c r="AE120" s="508"/>
      <c r="AF120" s="508"/>
      <c r="AG120" s="508"/>
      <c r="AH120" s="508"/>
    </row>
    <row r="121" spans="1:34" ht="31.5" customHeight="1" hidden="1">
      <c r="A121" s="582"/>
      <c r="B121" s="607"/>
      <c r="C121" s="167" t="s">
        <v>2104</v>
      </c>
      <c r="D121" s="208" t="s">
        <v>98</v>
      </c>
      <c r="E121" s="142"/>
      <c r="F121" s="143"/>
      <c r="G121" s="172"/>
      <c r="H121" s="420"/>
      <c r="I121" s="144">
        <v>0</v>
      </c>
      <c r="J121" s="144"/>
      <c r="K121" s="144"/>
      <c r="L121" s="144"/>
      <c r="M121" s="144"/>
      <c r="N121" s="407"/>
      <c r="O121" s="144">
        <v>0</v>
      </c>
      <c r="P121" s="407"/>
      <c r="Q121" s="407"/>
      <c r="R121" s="407"/>
      <c r="S121" s="407"/>
      <c r="T121" s="407"/>
      <c r="U121" s="407"/>
      <c r="V121" s="407"/>
      <c r="W121" s="407"/>
      <c r="X121" s="407"/>
      <c r="Y121" s="407"/>
      <c r="Z121" s="144">
        <v>0</v>
      </c>
      <c r="AA121" s="407">
        <f t="shared" si="12"/>
        <v>0</v>
      </c>
      <c r="AC121" s="499"/>
      <c r="AD121" s="513"/>
      <c r="AE121" s="508"/>
      <c r="AF121" s="508"/>
      <c r="AG121" s="508"/>
      <c r="AH121" s="508"/>
    </row>
    <row r="122" spans="1:34" ht="15.75" customHeight="1" hidden="1">
      <c r="A122" s="582"/>
      <c r="B122" s="607"/>
      <c r="C122" s="167" t="s">
        <v>99</v>
      </c>
      <c r="D122" s="208" t="s">
        <v>100</v>
      </c>
      <c r="E122" s="142"/>
      <c r="F122" s="143"/>
      <c r="G122" s="172"/>
      <c r="H122" s="420"/>
      <c r="I122" s="144">
        <v>0</v>
      </c>
      <c r="J122" s="286"/>
      <c r="K122" s="144"/>
      <c r="L122" s="286"/>
      <c r="M122" s="144"/>
      <c r="N122" s="407"/>
      <c r="O122" s="144">
        <v>0</v>
      </c>
      <c r="P122" s="407"/>
      <c r="Q122" s="407"/>
      <c r="R122" s="407"/>
      <c r="S122" s="407"/>
      <c r="T122" s="407"/>
      <c r="U122" s="407"/>
      <c r="V122" s="407"/>
      <c r="W122" s="407"/>
      <c r="X122" s="407"/>
      <c r="Y122" s="407"/>
      <c r="Z122" s="144">
        <v>0</v>
      </c>
      <c r="AA122" s="407">
        <f t="shared" si="12"/>
        <v>0</v>
      </c>
      <c r="AC122" s="499"/>
      <c r="AD122" s="513"/>
      <c r="AE122" s="508"/>
      <c r="AF122" s="508"/>
      <c r="AG122" s="508"/>
      <c r="AH122" s="508"/>
    </row>
    <row r="123" spans="1:34" ht="15.75" customHeight="1" hidden="1">
      <c r="A123" s="582"/>
      <c r="B123" s="607"/>
      <c r="C123" s="167" t="s">
        <v>101</v>
      </c>
      <c r="D123" s="210" t="s">
        <v>880</v>
      </c>
      <c r="E123" s="142">
        <v>100</v>
      </c>
      <c r="F123" s="143">
        <f>100%-((E123-G123)/E123)</f>
        <v>1</v>
      </c>
      <c r="G123" s="142">
        <v>100</v>
      </c>
      <c r="H123" s="417"/>
      <c r="I123" s="144">
        <v>0</v>
      </c>
      <c r="J123" s="144"/>
      <c r="K123" s="144"/>
      <c r="L123" s="144"/>
      <c r="M123" s="144"/>
      <c r="N123" s="407"/>
      <c r="O123" s="144">
        <v>0</v>
      </c>
      <c r="P123" s="407"/>
      <c r="Q123" s="407"/>
      <c r="R123" s="407"/>
      <c r="S123" s="407"/>
      <c r="T123" s="407"/>
      <c r="U123" s="407"/>
      <c r="V123" s="407"/>
      <c r="W123" s="407"/>
      <c r="X123" s="407"/>
      <c r="Y123" s="407"/>
      <c r="Z123" s="144">
        <v>0</v>
      </c>
      <c r="AA123" s="407">
        <f t="shared" si="12"/>
        <v>0</v>
      </c>
      <c r="AC123" s="499"/>
      <c r="AD123" s="513"/>
      <c r="AE123" s="508"/>
      <c r="AF123" s="508"/>
      <c r="AG123" s="508"/>
      <c r="AH123" s="508"/>
    </row>
    <row r="124" spans="1:34" ht="31.5" customHeight="1" hidden="1">
      <c r="A124" s="582"/>
      <c r="B124" s="607"/>
      <c r="C124" s="167" t="s">
        <v>881</v>
      </c>
      <c r="D124" s="13" t="s">
        <v>882</v>
      </c>
      <c r="E124" s="142"/>
      <c r="F124" s="143"/>
      <c r="G124" s="142"/>
      <c r="H124" s="417"/>
      <c r="I124" s="144">
        <v>0</v>
      </c>
      <c r="J124" s="144"/>
      <c r="K124" s="144"/>
      <c r="L124" s="49"/>
      <c r="M124" s="144"/>
      <c r="N124" s="407"/>
      <c r="O124" s="144">
        <v>0</v>
      </c>
      <c r="P124" s="407"/>
      <c r="Q124" s="407"/>
      <c r="R124" s="407"/>
      <c r="S124" s="407"/>
      <c r="T124" s="407"/>
      <c r="U124" s="407"/>
      <c r="V124" s="407"/>
      <c r="W124" s="407"/>
      <c r="X124" s="407"/>
      <c r="Y124" s="407"/>
      <c r="Z124" s="144">
        <v>0</v>
      </c>
      <c r="AA124" s="407">
        <f t="shared" si="12"/>
        <v>0</v>
      </c>
      <c r="AC124" s="499"/>
      <c r="AD124" s="513"/>
      <c r="AE124" s="508"/>
      <c r="AF124" s="508"/>
      <c r="AG124" s="508"/>
      <c r="AH124" s="508"/>
    </row>
    <row r="125" spans="1:34" ht="15.75">
      <c r="A125" s="582"/>
      <c r="B125" s="607"/>
      <c r="C125" s="614" t="s">
        <v>883</v>
      </c>
      <c r="D125" s="13" t="s">
        <v>1656</v>
      </c>
      <c r="E125" s="142"/>
      <c r="F125" s="143"/>
      <c r="G125" s="142"/>
      <c r="H125" s="417"/>
      <c r="I125" s="144">
        <f>SUM(I126:I133)</f>
        <v>13465.29</v>
      </c>
      <c r="J125" s="144">
        <f>SUM(J126:J133)</f>
        <v>0</v>
      </c>
      <c r="K125" s="144">
        <f>SUM(K126:K133)</f>
        <v>0</v>
      </c>
      <c r="L125" s="144">
        <f>SUM(L126:L133)</f>
        <v>13465.29</v>
      </c>
      <c r="M125" s="144">
        <f>SUM(M126:M133)</f>
        <v>0</v>
      </c>
      <c r="N125" s="407"/>
      <c r="O125" s="144">
        <f>SUM(O126:O133)</f>
        <v>13465.29</v>
      </c>
      <c r="P125" s="407"/>
      <c r="Q125" s="407"/>
      <c r="R125" s="407"/>
      <c r="S125" s="407"/>
      <c r="T125" s="407"/>
      <c r="U125" s="407"/>
      <c r="V125" s="407"/>
      <c r="W125" s="407"/>
      <c r="X125" s="407"/>
      <c r="Y125" s="407"/>
      <c r="Z125" s="144">
        <f>SUM(Z126:Z133)</f>
        <v>13465.29</v>
      </c>
      <c r="AA125" s="407">
        <f t="shared" si="12"/>
        <v>0</v>
      </c>
      <c r="AC125" s="499"/>
      <c r="AD125" s="513"/>
      <c r="AE125" s="508"/>
      <c r="AF125" s="508"/>
      <c r="AG125" s="508"/>
      <c r="AH125" s="508"/>
    </row>
    <row r="126" spans="1:34" ht="15.75">
      <c r="A126" s="582"/>
      <c r="B126" s="607"/>
      <c r="C126" s="615"/>
      <c r="D126" s="346" t="s">
        <v>1657</v>
      </c>
      <c r="E126" s="199">
        <v>518.4</v>
      </c>
      <c r="F126" s="200">
        <f>100%-((E126-G126)/E126)</f>
        <v>0.895</v>
      </c>
      <c r="G126" s="199">
        <v>463.807</v>
      </c>
      <c r="H126" s="417">
        <v>3132</v>
      </c>
      <c r="I126" s="201">
        <v>2089.07</v>
      </c>
      <c r="J126" s="201"/>
      <c r="K126" s="201"/>
      <c r="L126" s="201">
        <v>2089.07</v>
      </c>
      <c r="M126" s="201"/>
      <c r="N126" s="407"/>
      <c r="O126" s="201">
        <v>2089.07</v>
      </c>
      <c r="P126" s="407"/>
      <c r="Q126" s="407"/>
      <c r="R126" s="407"/>
      <c r="S126" s="407"/>
      <c r="T126" s="407"/>
      <c r="U126" s="407"/>
      <c r="V126" s="407"/>
      <c r="W126" s="407"/>
      <c r="X126" s="407"/>
      <c r="Y126" s="407"/>
      <c r="Z126" s="201">
        <v>2089.07</v>
      </c>
      <c r="AA126" s="407">
        <f t="shared" si="12"/>
        <v>0</v>
      </c>
      <c r="AC126" s="499"/>
      <c r="AD126" s="513">
        <v>2089.07</v>
      </c>
      <c r="AE126" s="508"/>
      <c r="AF126" s="508"/>
      <c r="AG126" s="508"/>
      <c r="AH126" s="508"/>
    </row>
    <row r="127" spans="1:34" ht="15.75">
      <c r="A127" s="582"/>
      <c r="B127" s="607"/>
      <c r="C127" s="615"/>
      <c r="D127" s="346" t="s">
        <v>1658</v>
      </c>
      <c r="E127" s="199">
        <v>166.921</v>
      </c>
      <c r="F127" s="200">
        <f>100%-((E127-G127)/E127)</f>
        <v>1</v>
      </c>
      <c r="G127" s="199">
        <v>166.921</v>
      </c>
      <c r="H127" s="417">
        <v>3132</v>
      </c>
      <c r="I127" s="201">
        <v>2457</v>
      </c>
      <c r="J127" s="201"/>
      <c r="K127" s="201"/>
      <c r="L127" s="201">
        <v>2457</v>
      </c>
      <c r="M127" s="201"/>
      <c r="N127" s="407"/>
      <c r="O127" s="201">
        <v>2457</v>
      </c>
      <c r="P127" s="407"/>
      <c r="Q127" s="407"/>
      <c r="R127" s="407"/>
      <c r="S127" s="407"/>
      <c r="T127" s="407"/>
      <c r="U127" s="407"/>
      <c r="V127" s="407"/>
      <c r="W127" s="407"/>
      <c r="X127" s="407"/>
      <c r="Y127" s="407"/>
      <c r="Z127" s="201">
        <v>2457</v>
      </c>
      <c r="AA127" s="407">
        <f t="shared" si="12"/>
        <v>0</v>
      </c>
      <c r="AC127" s="499"/>
      <c r="AD127" s="513">
        <v>2457</v>
      </c>
      <c r="AE127" s="508"/>
      <c r="AF127" s="508"/>
      <c r="AG127" s="508"/>
      <c r="AH127" s="508"/>
    </row>
    <row r="128" spans="1:34" ht="15.75" customHeight="1" hidden="1">
      <c r="A128" s="582"/>
      <c r="B128" s="607"/>
      <c r="C128" s="615"/>
      <c r="D128" s="346" t="s">
        <v>1659</v>
      </c>
      <c r="E128" s="199">
        <v>150</v>
      </c>
      <c r="F128" s="200">
        <f>100%-((E128-G128)/E128)</f>
        <v>1</v>
      </c>
      <c r="G128" s="199">
        <v>150</v>
      </c>
      <c r="H128" s="417">
        <v>3132</v>
      </c>
      <c r="I128" s="201">
        <v>0</v>
      </c>
      <c r="J128" s="201"/>
      <c r="K128" s="201"/>
      <c r="L128" s="201"/>
      <c r="M128" s="201"/>
      <c r="N128" s="407"/>
      <c r="O128" s="201">
        <v>0</v>
      </c>
      <c r="P128" s="407"/>
      <c r="Q128" s="407"/>
      <c r="R128" s="407"/>
      <c r="S128" s="407"/>
      <c r="T128" s="407"/>
      <c r="U128" s="407"/>
      <c r="V128" s="407"/>
      <c r="W128" s="407"/>
      <c r="X128" s="407"/>
      <c r="Y128" s="407"/>
      <c r="Z128" s="201">
        <v>0</v>
      </c>
      <c r="AA128" s="407">
        <f t="shared" si="12"/>
        <v>0</v>
      </c>
      <c r="AC128" s="499"/>
      <c r="AD128" s="513"/>
      <c r="AE128" s="508"/>
      <c r="AF128" s="508"/>
      <c r="AG128" s="508"/>
      <c r="AH128" s="508"/>
    </row>
    <row r="129" spans="1:34" ht="15.75" hidden="1">
      <c r="A129" s="582"/>
      <c r="B129" s="607"/>
      <c r="C129" s="615"/>
      <c r="D129" s="346" t="s">
        <v>1660</v>
      </c>
      <c r="E129" s="199"/>
      <c r="F129" s="200"/>
      <c r="G129" s="199"/>
      <c r="H129" s="417">
        <v>3132</v>
      </c>
      <c r="I129" s="201">
        <v>0</v>
      </c>
      <c r="J129" s="201"/>
      <c r="K129" s="201"/>
      <c r="L129" s="201"/>
      <c r="M129" s="201"/>
      <c r="N129" s="407"/>
      <c r="O129" s="201">
        <v>0</v>
      </c>
      <c r="P129" s="407"/>
      <c r="Q129" s="407"/>
      <c r="R129" s="407"/>
      <c r="S129" s="407"/>
      <c r="T129" s="407"/>
      <c r="U129" s="407"/>
      <c r="V129" s="407"/>
      <c r="W129" s="407"/>
      <c r="X129" s="407"/>
      <c r="Y129" s="407"/>
      <c r="Z129" s="201">
        <v>0</v>
      </c>
      <c r="AA129" s="407">
        <f t="shared" si="12"/>
        <v>0</v>
      </c>
      <c r="AC129" s="499"/>
      <c r="AD129" s="513"/>
      <c r="AE129" s="508"/>
      <c r="AF129" s="508"/>
      <c r="AG129" s="508"/>
      <c r="AH129" s="508"/>
    </row>
    <row r="130" spans="1:34" ht="15.75">
      <c r="A130" s="582"/>
      <c r="B130" s="607"/>
      <c r="C130" s="615"/>
      <c r="D130" s="346" t="s">
        <v>1160</v>
      </c>
      <c r="E130" s="199">
        <v>200</v>
      </c>
      <c r="F130" s="200">
        <f>100%-((E130-G130)/E130)</f>
        <v>1</v>
      </c>
      <c r="G130" s="199">
        <v>200</v>
      </c>
      <c r="H130" s="417">
        <v>3132</v>
      </c>
      <c r="I130" s="201">
        <v>8919.22</v>
      </c>
      <c r="J130" s="201"/>
      <c r="K130" s="201"/>
      <c r="L130" s="201">
        <v>8919.22</v>
      </c>
      <c r="M130" s="201"/>
      <c r="N130" s="407"/>
      <c r="O130" s="201">
        <v>8919.22</v>
      </c>
      <c r="P130" s="407"/>
      <c r="Q130" s="407"/>
      <c r="R130" s="407"/>
      <c r="S130" s="407"/>
      <c r="T130" s="407"/>
      <c r="U130" s="407"/>
      <c r="V130" s="407"/>
      <c r="W130" s="407"/>
      <c r="X130" s="407"/>
      <c r="Y130" s="407"/>
      <c r="Z130" s="201">
        <v>8919.22</v>
      </c>
      <c r="AA130" s="407">
        <f t="shared" si="12"/>
        <v>0</v>
      </c>
      <c r="AC130" s="499"/>
      <c r="AD130" s="513">
        <v>8919.22</v>
      </c>
      <c r="AE130" s="508"/>
      <c r="AF130" s="508"/>
      <c r="AG130" s="508"/>
      <c r="AH130" s="508"/>
    </row>
    <row r="131" spans="1:34" ht="15.75" hidden="1">
      <c r="A131" s="582"/>
      <c r="B131" s="607"/>
      <c r="C131" s="615"/>
      <c r="D131" s="50" t="s">
        <v>1161</v>
      </c>
      <c r="E131" s="199"/>
      <c r="F131" s="200"/>
      <c r="G131" s="199"/>
      <c r="H131" s="423"/>
      <c r="I131" s="201">
        <v>0</v>
      </c>
      <c r="J131" s="201"/>
      <c r="K131" s="201"/>
      <c r="L131" s="201"/>
      <c r="M131" s="201"/>
      <c r="N131" s="407"/>
      <c r="O131" s="201">
        <v>0</v>
      </c>
      <c r="P131" s="407"/>
      <c r="Q131" s="407"/>
      <c r="R131" s="407"/>
      <c r="S131" s="407"/>
      <c r="T131" s="407"/>
      <c r="U131" s="407"/>
      <c r="V131" s="407"/>
      <c r="W131" s="407"/>
      <c r="X131" s="407"/>
      <c r="Y131" s="407"/>
      <c r="Z131" s="201">
        <v>0</v>
      </c>
      <c r="AA131" s="407">
        <f t="shared" si="12"/>
        <v>0</v>
      </c>
      <c r="AC131" s="499"/>
      <c r="AD131" s="513"/>
      <c r="AE131" s="508"/>
      <c r="AF131" s="508"/>
      <c r="AG131" s="508"/>
      <c r="AH131" s="508"/>
    </row>
    <row r="132" spans="1:34" ht="15.75" customHeight="1" hidden="1">
      <c r="A132" s="582"/>
      <c r="B132" s="607"/>
      <c r="C132" s="615"/>
      <c r="D132" s="50" t="s">
        <v>1162</v>
      </c>
      <c r="E132" s="199">
        <v>30</v>
      </c>
      <c r="F132" s="200">
        <f>100%-((E132-G132)/E132)</f>
        <v>1</v>
      </c>
      <c r="G132" s="199">
        <v>30</v>
      </c>
      <c r="H132" s="423"/>
      <c r="I132" s="201">
        <v>0</v>
      </c>
      <c r="J132" s="201"/>
      <c r="K132" s="201"/>
      <c r="L132" s="51"/>
      <c r="M132" s="201"/>
      <c r="N132" s="407"/>
      <c r="O132" s="201">
        <v>0</v>
      </c>
      <c r="P132" s="407"/>
      <c r="Q132" s="407"/>
      <c r="R132" s="407"/>
      <c r="S132" s="407"/>
      <c r="T132" s="407"/>
      <c r="U132" s="407"/>
      <c r="V132" s="407"/>
      <c r="W132" s="407"/>
      <c r="X132" s="407"/>
      <c r="Y132" s="407"/>
      <c r="Z132" s="201">
        <v>0</v>
      </c>
      <c r="AA132" s="407">
        <f t="shared" si="12"/>
        <v>0</v>
      </c>
      <c r="AC132" s="499"/>
      <c r="AD132" s="513"/>
      <c r="AE132" s="508"/>
      <c r="AF132" s="508"/>
      <c r="AG132" s="508"/>
      <c r="AH132" s="508"/>
    </row>
    <row r="133" spans="1:34" ht="15.75" customHeight="1" hidden="1">
      <c r="A133" s="582"/>
      <c r="B133" s="607"/>
      <c r="C133" s="616"/>
      <c r="D133" s="50" t="s">
        <v>1163</v>
      </c>
      <c r="E133" s="199">
        <v>30</v>
      </c>
      <c r="F133" s="200">
        <f>100%-((E133-G133)/E133)</f>
        <v>1</v>
      </c>
      <c r="G133" s="199">
        <v>30</v>
      </c>
      <c r="H133" s="423"/>
      <c r="I133" s="201">
        <v>0</v>
      </c>
      <c r="J133" s="201"/>
      <c r="K133" s="201"/>
      <c r="L133" s="51"/>
      <c r="M133" s="201"/>
      <c r="N133" s="407"/>
      <c r="O133" s="201">
        <v>0</v>
      </c>
      <c r="P133" s="407"/>
      <c r="Q133" s="407"/>
      <c r="R133" s="407"/>
      <c r="S133" s="407"/>
      <c r="T133" s="407"/>
      <c r="U133" s="407"/>
      <c r="V133" s="407"/>
      <c r="W133" s="407"/>
      <c r="X133" s="407"/>
      <c r="Y133" s="407"/>
      <c r="Z133" s="201">
        <v>0</v>
      </c>
      <c r="AA133" s="407">
        <f t="shared" si="12"/>
        <v>0</v>
      </c>
      <c r="AC133" s="499"/>
      <c r="AD133" s="513"/>
      <c r="AE133" s="508"/>
      <c r="AF133" s="508"/>
      <c r="AG133" s="508"/>
      <c r="AH133" s="508"/>
    </row>
    <row r="134" spans="1:34" ht="15.75">
      <c r="A134" s="582"/>
      <c r="B134" s="607"/>
      <c r="C134" s="614" t="s">
        <v>1164</v>
      </c>
      <c r="D134" s="13" t="s">
        <v>1165</v>
      </c>
      <c r="E134" s="142"/>
      <c r="F134" s="143"/>
      <c r="G134" s="142"/>
      <c r="H134" s="417"/>
      <c r="I134" s="49">
        <f>I135+I136+I137+I138</f>
        <v>134714.43</v>
      </c>
      <c r="J134" s="49">
        <f>J135+J136+J137+J138</f>
        <v>0</v>
      </c>
      <c r="K134" s="49">
        <f>K135+K136+K137+K138</f>
        <v>0</v>
      </c>
      <c r="L134" s="49">
        <f>L135+L136+L137+L138</f>
        <v>134714.43</v>
      </c>
      <c r="M134" s="49">
        <f>M135+M136+M137+M138</f>
        <v>0</v>
      </c>
      <c r="N134" s="407"/>
      <c r="O134" s="49">
        <f>O135+O136+O137+O138</f>
        <v>134714.43</v>
      </c>
      <c r="P134" s="407"/>
      <c r="Q134" s="407"/>
      <c r="R134" s="407"/>
      <c r="S134" s="407"/>
      <c r="T134" s="407"/>
      <c r="U134" s="407"/>
      <c r="V134" s="407"/>
      <c r="W134" s="407"/>
      <c r="X134" s="407"/>
      <c r="Y134" s="407"/>
      <c r="Z134" s="49">
        <f>Z135+Z136+Z137+Z138</f>
        <v>125586.38</v>
      </c>
      <c r="AA134" s="407">
        <f t="shared" si="12"/>
        <v>9128.05</v>
      </c>
      <c r="AC134" s="499"/>
      <c r="AD134" s="513"/>
      <c r="AE134" s="508"/>
      <c r="AF134" s="508"/>
      <c r="AG134" s="508"/>
      <c r="AH134" s="508"/>
    </row>
    <row r="135" spans="1:34" ht="15.75">
      <c r="A135" s="582"/>
      <c r="B135" s="607"/>
      <c r="C135" s="615"/>
      <c r="D135" s="346" t="s">
        <v>530</v>
      </c>
      <c r="E135" s="142">
        <v>138</v>
      </c>
      <c r="F135" s="143">
        <f>100%-((E135-G135)/E135)</f>
        <v>1</v>
      </c>
      <c r="G135" s="142">
        <v>138</v>
      </c>
      <c r="H135" s="417">
        <v>3132</v>
      </c>
      <c r="I135" s="201">
        <v>28113.8</v>
      </c>
      <c r="J135" s="201"/>
      <c r="K135" s="201"/>
      <c r="L135" s="51">
        <v>28113.8</v>
      </c>
      <c r="M135" s="144"/>
      <c r="N135" s="407"/>
      <c r="O135" s="201">
        <v>28113.8</v>
      </c>
      <c r="P135" s="407"/>
      <c r="Q135" s="407"/>
      <c r="R135" s="407"/>
      <c r="S135" s="407"/>
      <c r="T135" s="407"/>
      <c r="U135" s="407"/>
      <c r="V135" s="407"/>
      <c r="W135" s="407"/>
      <c r="X135" s="407"/>
      <c r="Y135" s="407"/>
      <c r="Z135" s="201">
        <v>28113.8</v>
      </c>
      <c r="AA135" s="407">
        <f t="shared" si="12"/>
        <v>0</v>
      </c>
      <c r="AC135" s="499"/>
      <c r="AD135" s="513">
        <v>28113.8</v>
      </c>
      <c r="AE135" s="508"/>
      <c r="AF135" s="508"/>
      <c r="AG135" s="508"/>
      <c r="AH135" s="508"/>
    </row>
    <row r="136" spans="1:34" ht="15.75">
      <c r="A136" s="582"/>
      <c r="B136" s="607"/>
      <c r="C136" s="615"/>
      <c r="D136" s="346" t="s">
        <v>1474</v>
      </c>
      <c r="E136" s="142">
        <v>128.068</v>
      </c>
      <c r="F136" s="143">
        <f>100%-((E136-G136)/E136)</f>
        <v>1</v>
      </c>
      <c r="G136" s="142">
        <v>128.068</v>
      </c>
      <c r="H136" s="417">
        <v>3132</v>
      </c>
      <c r="I136" s="201">
        <v>65948.71</v>
      </c>
      <c r="J136" s="201"/>
      <c r="K136" s="201"/>
      <c r="L136" s="51">
        <v>65948.71</v>
      </c>
      <c r="M136" s="144"/>
      <c r="N136" s="407"/>
      <c r="O136" s="201">
        <v>65948.71</v>
      </c>
      <c r="P136" s="407"/>
      <c r="Q136" s="407"/>
      <c r="R136" s="407"/>
      <c r="S136" s="407"/>
      <c r="T136" s="407"/>
      <c r="U136" s="407"/>
      <c r="V136" s="407"/>
      <c r="W136" s="407"/>
      <c r="X136" s="407"/>
      <c r="Y136" s="407"/>
      <c r="Z136" s="201">
        <f>65948.71-8253.05</f>
        <v>57695.66</v>
      </c>
      <c r="AA136" s="407">
        <f t="shared" si="12"/>
        <v>8253.05</v>
      </c>
      <c r="AC136" s="499"/>
      <c r="AD136" s="513">
        <v>65948.71</v>
      </c>
      <c r="AE136" s="508"/>
      <c r="AF136" s="508"/>
      <c r="AG136" s="508"/>
      <c r="AH136" s="508"/>
    </row>
    <row r="137" spans="1:34" ht="15.75">
      <c r="A137" s="582"/>
      <c r="B137" s="607"/>
      <c r="C137" s="615"/>
      <c r="D137" s="346" t="s">
        <v>1475</v>
      </c>
      <c r="E137" s="142">
        <v>90</v>
      </c>
      <c r="F137" s="143">
        <f>100%-((E137-G137)/E137)</f>
        <v>1</v>
      </c>
      <c r="G137" s="142">
        <v>90</v>
      </c>
      <c r="H137" s="417">
        <v>3132</v>
      </c>
      <c r="I137" s="201">
        <v>40651.92</v>
      </c>
      <c r="J137" s="201"/>
      <c r="K137" s="201"/>
      <c r="L137" s="51">
        <v>40651.92</v>
      </c>
      <c r="M137" s="144"/>
      <c r="N137" s="407"/>
      <c r="O137" s="201">
        <v>40651.92</v>
      </c>
      <c r="P137" s="407"/>
      <c r="Q137" s="407"/>
      <c r="R137" s="407"/>
      <c r="S137" s="407"/>
      <c r="T137" s="407"/>
      <c r="U137" s="407"/>
      <c r="V137" s="407"/>
      <c r="W137" s="407"/>
      <c r="X137" s="407"/>
      <c r="Y137" s="407"/>
      <c r="Z137" s="201">
        <f>40651.92-875</f>
        <v>39776.92</v>
      </c>
      <c r="AA137" s="407">
        <f t="shared" si="12"/>
        <v>875</v>
      </c>
      <c r="AC137" s="499"/>
      <c r="AD137" s="513">
        <v>40651.92</v>
      </c>
      <c r="AE137" s="508"/>
      <c r="AF137" s="508"/>
      <c r="AG137" s="508"/>
      <c r="AH137" s="508"/>
    </row>
    <row r="138" spans="1:34" ht="15.75" customHeight="1" hidden="1">
      <c r="A138" s="582"/>
      <c r="B138" s="607"/>
      <c r="C138" s="616"/>
      <c r="D138" s="50" t="s">
        <v>1476</v>
      </c>
      <c r="E138" s="142">
        <v>510.916</v>
      </c>
      <c r="F138" s="143">
        <f>100%-((E138-G138)/E138)</f>
        <v>1</v>
      </c>
      <c r="G138" s="142">
        <v>510.916</v>
      </c>
      <c r="H138" s="417"/>
      <c r="I138" s="201">
        <v>0</v>
      </c>
      <c r="J138" s="201"/>
      <c r="K138" s="201"/>
      <c r="L138" s="51"/>
      <c r="M138" s="144"/>
      <c r="N138" s="407"/>
      <c r="O138" s="201">
        <v>0</v>
      </c>
      <c r="P138" s="407"/>
      <c r="Q138" s="407"/>
      <c r="R138" s="407"/>
      <c r="S138" s="407"/>
      <c r="T138" s="407"/>
      <c r="U138" s="407"/>
      <c r="V138" s="407"/>
      <c r="W138" s="407"/>
      <c r="X138" s="407"/>
      <c r="Y138" s="407"/>
      <c r="Z138" s="201">
        <v>0</v>
      </c>
      <c r="AA138" s="407">
        <f t="shared" si="12"/>
        <v>0</v>
      </c>
      <c r="AC138" s="499"/>
      <c r="AD138" s="513"/>
      <c r="AE138" s="508"/>
      <c r="AF138" s="508"/>
      <c r="AG138" s="508"/>
      <c r="AH138" s="508"/>
    </row>
    <row r="139" spans="1:34" s="40" customFormat="1" ht="15.75" customHeight="1" hidden="1">
      <c r="A139" s="582"/>
      <c r="B139" s="607"/>
      <c r="C139" s="205"/>
      <c r="D139" s="13" t="s">
        <v>1477</v>
      </c>
      <c r="E139" s="142"/>
      <c r="F139" s="143"/>
      <c r="G139" s="142"/>
      <c r="H139" s="417"/>
      <c r="I139" s="144">
        <v>0</v>
      </c>
      <c r="J139" s="144"/>
      <c r="K139" s="144"/>
      <c r="L139" s="49"/>
      <c r="M139" s="144"/>
      <c r="N139" s="407"/>
      <c r="O139" s="144">
        <v>0</v>
      </c>
      <c r="P139" s="407"/>
      <c r="Q139" s="407"/>
      <c r="R139" s="407"/>
      <c r="S139" s="407"/>
      <c r="T139" s="407"/>
      <c r="U139" s="407"/>
      <c r="V139" s="407"/>
      <c r="W139" s="407"/>
      <c r="X139" s="407"/>
      <c r="Y139" s="407"/>
      <c r="Z139" s="144">
        <v>0</v>
      </c>
      <c r="AA139" s="407">
        <f t="shared" si="12"/>
        <v>0</v>
      </c>
      <c r="AC139" s="498"/>
      <c r="AD139" s="512"/>
      <c r="AE139" s="507"/>
      <c r="AF139" s="507"/>
      <c r="AG139" s="507"/>
      <c r="AH139" s="507"/>
    </row>
    <row r="140" spans="1:34" s="40" customFormat="1" ht="31.5">
      <c r="A140" s="582"/>
      <c r="B140" s="607"/>
      <c r="C140" s="167" t="s">
        <v>1478</v>
      </c>
      <c r="D140" s="13" t="s">
        <v>1775</v>
      </c>
      <c r="E140" s="142">
        <v>100</v>
      </c>
      <c r="F140" s="143">
        <f>100%-((E140-G140)/E140)</f>
        <v>1</v>
      </c>
      <c r="G140" s="142">
        <v>100</v>
      </c>
      <c r="H140" s="417">
        <v>3132</v>
      </c>
      <c r="I140" s="144">
        <v>69983.2</v>
      </c>
      <c r="J140" s="144"/>
      <c r="K140" s="144"/>
      <c r="L140" s="49">
        <v>69983.2</v>
      </c>
      <c r="M140" s="144"/>
      <c r="N140" s="407"/>
      <c r="O140" s="144">
        <v>69983.2</v>
      </c>
      <c r="P140" s="407"/>
      <c r="Q140" s="407"/>
      <c r="R140" s="407"/>
      <c r="S140" s="407"/>
      <c r="T140" s="407"/>
      <c r="U140" s="407"/>
      <c r="V140" s="407"/>
      <c r="W140" s="407"/>
      <c r="X140" s="407"/>
      <c r="Y140" s="407"/>
      <c r="Z140" s="144">
        <v>69983.2</v>
      </c>
      <c r="AA140" s="407">
        <f t="shared" si="12"/>
        <v>0</v>
      </c>
      <c r="AC140" s="498"/>
      <c r="AD140" s="512">
        <v>69983.2</v>
      </c>
      <c r="AE140" s="507"/>
      <c r="AF140" s="507"/>
      <c r="AG140" s="507"/>
      <c r="AH140" s="507"/>
    </row>
    <row r="141" spans="1:34" ht="31.5" customHeight="1" hidden="1">
      <c r="A141" s="582"/>
      <c r="B141" s="607"/>
      <c r="C141" s="167" t="s">
        <v>1776</v>
      </c>
      <c r="D141" s="13" t="s">
        <v>897</v>
      </c>
      <c r="E141" s="142"/>
      <c r="F141" s="143"/>
      <c r="G141" s="142"/>
      <c r="H141" s="417"/>
      <c r="I141" s="144">
        <v>0</v>
      </c>
      <c r="J141" s="144"/>
      <c r="K141" s="144"/>
      <c r="L141" s="49"/>
      <c r="M141" s="144"/>
      <c r="N141" s="407"/>
      <c r="O141" s="144">
        <v>0</v>
      </c>
      <c r="P141" s="407"/>
      <c r="Q141" s="407"/>
      <c r="R141" s="407"/>
      <c r="S141" s="407"/>
      <c r="T141" s="407"/>
      <c r="U141" s="407"/>
      <c r="V141" s="407"/>
      <c r="W141" s="407"/>
      <c r="X141" s="407"/>
      <c r="Y141" s="407"/>
      <c r="Z141" s="144">
        <v>0</v>
      </c>
      <c r="AA141" s="407">
        <f t="shared" si="12"/>
        <v>0</v>
      </c>
      <c r="AC141" s="499"/>
      <c r="AD141" s="513"/>
      <c r="AE141" s="508"/>
      <c r="AF141" s="508"/>
      <c r="AG141" s="508"/>
      <c r="AH141" s="508"/>
    </row>
    <row r="142" spans="1:34" ht="15.75" customHeight="1" hidden="1">
      <c r="A142" s="582"/>
      <c r="B142" s="607"/>
      <c r="C142" s="167" t="s">
        <v>898</v>
      </c>
      <c r="D142" s="13" t="s">
        <v>899</v>
      </c>
      <c r="E142" s="142"/>
      <c r="F142" s="143"/>
      <c r="G142" s="142"/>
      <c r="H142" s="417"/>
      <c r="I142" s="144">
        <v>0</v>
      </c>
      <c r="J142" s="286">
        <f>2.699-2.699</f>
        <v>0</v>
      </c>
      <c r="K142" s="144"/>
      <c r="L142" s="53"/>
      <c r="M142" s="144"/>
      <c r="N142" s="407"/>
      <c r="O142" s="144">
        <v>0</v>
      </c>
      <c r="P142" s="407"/>
      <c r="Q142" s="407"/>
      <c r="R142" s="407"/>
      <c r="S142" s="407"/>
      <c r="T142" s="407"/>
      <c r="U142" s="407"/>
      <c r="V142" s="407"/>
      <c r="W142" s="407"/>
      <c r="X142" s="407"/>
      <c r="Y142" s="407"/>
      <c r="Z142" s="144">
        <v>0</v>
      </c>
      <c r="AA142" s="407">
        <f t="shared" si="12"/>
        <v>0</v>
      </c>
      <c r="AC142" s="499"/>
      <c r="AD142" s="513"/>
      <c r="AE142" s="508"/>
      <c r="AF142" s="508"/>
      <c r="AG142" s="508"/>
      <c r="AH142" s="508"/>
    </row>
    <row r="143" spans="1:34" ht="31.5" customHeight="1" hidden="1">
      <c r="A143" s="582"/>
      <c r="B143" s="607"/>
      <c r="C143" s="167"/>
      <c r="D143" s="13" t="s">
        <v>900</v>
      </c>
      <c r="E143" s="142">
        <v>230</v>
      </c>
      <c r="F143" s="143">
        <f>100%-((E143-G143)/E143)</f>
        <v>1</v>
      </c>
      <c r="G143" s="142">
        <v>230</v>
      </c>
      <c r="H143" s="417"/>
      <c r="I143" s="144">
        <v>0</v>
      </c>
      <c r="J143" s="144"/>
      <c r="K143" s="144"/>
      <c r="L143" s="49"/>
      <c r="M143" s="144"/>
      <c r="N143" s="407"/>
      <c r="O143" s="144">
        <v>0</v>
      </c>
      <c r="P143" s="407"/>
      <c r="Q143" s="407"/>
      <c r="R143" s="407"/>
      <c r="S143" s="407"/>
      <c r="T143" s="407"/>
      <c r="U143" s="407"/>
      <c r="V143" s="407"/>
      <c r="W143" s="407"/>
      <c r="X143" s="407"/>
      <c r="Y143" s="407"/>
      <c r="Z143" s="144">
        <v>0</v>
      </c>
      <c r="AA143" s="407">
        <f t="shared" si="12"/>
        <v>0</v>
      </c>
      <c r="AC143" s="499"/>
      <c r="AD143" s="513"/>
      <c r="AE143" s="508"/>
      <c r="AF143" s="508"/>
      <c r="AG143" s="508"/>
      <c r="AH143" s="508"/>
    </row>
    <row r="144" spans="1:34" ht="31.5">
      <c r="A144" s="582"/>
      <c r="B144" s="607"/>
      <c r="C144" s="167"/>
      <c r="D144" s="13" t="s">
        <v>1355</v>
      </c>
      <c r="E144" s="142">
        <v>230</v>
      </c>
      <c r="F144" s="143">
        <f>100%-((E144-G144)/E144)</f>
        <v>1</v>
      </c>
      <c r="G144" s="142">
        <v>230</v>
      </c>
      <c r="H144" s="417">
        <v>3132</v>
      </c>
      <c r="I144" s="144">
        <v>3639.6</v>
      </c>
      <c r="J144" s="144"/>
      <c r="K144" s="144"/>
      <c r="L144" s="49">
        <v>3639.6</v>
      </c>
      <c r="M144" s="144"/>
      <c r="N144" s="407"/>
      <c r="O144" s="144">
        <v>3639.6</v>
      </c>
      <c r="P144" s="407"/>
      <c r="Q144" s="407"/>
      <c r="R144" s="407"/>
      <c r="S144" s="407"/>
      <c r="T144" s="407"/>
      <c r="U144" s="407"/>
      <c r="V144" s="407"/>
      <c r="W144" s="407"/>
      <c r="X144" s="407"/>
      <c r="Y144" s="407"/>
      <c r="Z144" s="144">
        <v>3639.6</v>
      </c>
      <c r="AA144" s="407">
        <f t="shared" si="12"/>
        <v>0</v>
      </c>
      <c r="AC144" s="499"/>
      <c r="AD144" s="513">
        <v>3639.6</v>
      </c>
      <c r="AE144" s="508"/>
      <c r="AF144" s="508"/>
      <c r="AG144" s="508"/>
      <c r="AH144" s="508"/>
    </row>
    <row r="145" spans="1:34" ht="31.5">
      <c r="A145" s="582"/>
      <c r="B145" s="607"/>
      <c r="C145" s="167"/>
      <c r="D145" s="358" t="s">
        <v>990</v>
      </c>
      <c r="E145" s="142"/>
      <c r="F145" s="143"/>
      <c r="G145" s="142"/>
      <c r="H145" s="417"/>
      <c r="I145" s="391">
        <f>SUM(I146:I151)</f>
        <v>527000</v>
      </c>
      <c r="J145" s="391">
        <f aca="true" t="shared" si="19" ref="J145:Z145">SUM(J146:J151)</f>
        <v>0</v>
      </c>
      <c r="K145" s="391">
        <f t="shared" si="19"/>
        <v>0</v>
      </c>
      <c r="L145" s="391">
        <f t="shared" si="19"/>
        <v>0</v>
      </c>
      <c r="M145" s="391">
        <f t="shared" si="19"/>
        <v>480000</v>
      </c>
      <c r="N145" s="391">
        <f t="shared" si="19"/>
        <v>0</v>
      </c>
      <c r="O145" s="391">
        <f t="shared" si="19"/>
        <v>0</v>
      </c>
      <c r="P145" s="391">
        <f t="shared" si="19"/>
        <v>0</v>
      </c>
      <c r="Q145" s="391">
        <f t="shared" si="19"/>
        <v>0</v>
      </c>
      <c r="R145" s="391">
        <f t="shared" si="19"/>
        <v>9000</v>
      </c>
      <c r="S145" s="391">
        <f t="shared" si="19"/>
        <v>171000</v>
      </c>
      <c r="T145" s="391">
        <f t="shared" si="19"/>
        <v>0</v>
      </c>
      <c r="U145" s="391">
        <f t="shared" si="19"/>
        <v>300000</v>
      </c>
      <c r="V145" s="391">
        <f t="shared" si="19"/>
        <v>0</v>
      </c>
      <c r="W145" s="391">
        <f t="shared" si="19"/>
        <v>47000</v>
      </c>
      <c r="X145" s="391">
        <f t="shared" si="19"/>
        <v>0</v>
      </c>
      <c r="Y145" s="391">
        <f t="shared" si="19"/>
        <v>0</v>
      </c>
      <c r="Z145" s="391">
        <f t="shared" si="19"/>
        <v>16198.28</v>
      </c>
      <c r="AA145" s="407">
        <f t="shared" si="12"/>
        <v>510801.72</v>
      </c>
      <c r="AC145" s="499"/>
      <c r="AD145" s="513"/>
      <c r="AE145" s="508"/>
      <c r="AF145" s="508"/>
      <c r="AG145" s="508"/>
      <c r="AH145" s="508"/>
    </row>
    <row r="146" spans="1:34" s="64" customFormat="1" ht="15.75">
      <c r="A146" s="582"/>
      <c r="B146" s="607"/>
      <c r="C146" s="244"/>
      <c r="D146" s="385" t="s">
        <v>991</v>
      </c>
      <c r="E146" s="199"/>
      <c r="F146" s="200"/>
      <c r="G146" s="199"/>
      <c r="H146" s="417">
        <v>3132</v>
      </c>
      <c r="I146" s="201">
        <v>80000</v>
      </c>
      <c r="J146" s="201"/>
      <c r="K146" s="201"/>
      <c r="L146" s="51"/>
      <c r="M146" s="51">
        <v>80000</v>
      </c>
      <c r="N146" s="465"/>
      <c r="O146" s="465"/>
      <c r="P146" s="465"/>
      <c r="Q146" s="465"/>
      <c r="R146" s="465">
        <v>1500</v>
      </c>
      <c r="S146" s="465">
        <v>28500</v>
      </c>
      <c r="T146" s="465"/>
      <c r="U146" s="465">
        <v>50000</v>
      </c>
      <c r="V146" s="465"/>
      <c r="W146" s="465"/>
      <c r="X146" s="465"/>
      <c r="Y146" s="465"/>
      <c r="Z146" s="465">
        <v>1453.53</v>
      </c>
      <c r="AA146" s="407">
        <f t="shared" si="12"/>
        <v>78546.47</v>
      </c>
      <c r="AC146" s="500"/>
      <c r="AD146" s="516">
        <v>80000</v>
      </c>
      <c r="AE146" s="510"/>
      <c r="AF146" s="510" t="s">
        <v>497</v>
      </c>
      <c r="AG146" s="510" t="s">
        <v>495</v>
      </c>
      <c r="AH146" s="510"/>
    </row>
    <row r="147" spans="1:34" s="64" customFormat="1" ht="15.75">
      <c r="A147" s="582"/>
      <c r="B147" s="607"/>
      <c r="C147" s="244"/>
      <c r="D147" s="385" t="s">
        <v>992</v>
      </c>
      <c r="E147" s="199"/>
      <c r="F147" s="200"/>
      <c r="G147" s="199"/>
      <c r="H147" s="417">
        <v>3132</v>
      </c>
      <c r="I147" s="201">
        <f>80000+15500</f>
        <v>95500</v>
      </c>
      <c r="J147" s="201"/>
      <c r="K147" s="201"/>
      <c r="L147" s="51"/>
      <c r="M147" s="51">
        <v>80000</v>
      </c>
      <c r="N147" s="465"/>
      <c r="O147" s="465"/>
      <c r="P147" s="465"/>
      <c r="Q147" s="465"/>
      <c r="R147" s="465">
        <v>1500</v>
      </c>
      <c r="S147" s="465">
        <v>28500</v>
      </c>
      <c r="T147" s="465"/>
      <c r="U147" s="465">
        <v>50000</v>
      </c>
      <c r="V147" s="465"/>
      <c r="W147" s="465">
        <v>15500</v>
      </c>
      <c r="X147" s="465"/>
      <c r="Y147" s="465"/>
      <c r="Z147" s="465">
        <f>1499.18+3498.08</f>
        <v>4997.26</v>
      </c>
      <c r="AA147" s="407">
        <f t="shared" si="12"/>
        <v>90502.74</v>
      </c>
      <c r="AC147" s="500"/>
      <c r="AD147" s="516">
        <v>80000</v>
      </c>
      <c r="AE147" s="510"/>
      <c r="AF147" s="510" t="s">
        <v>498</v>
      </c>
      <c r="AG147" s="510" t="s">
        <v>495</v>
      </c>
      <c r="AH147" s="510"/>
    </row>
    <row r="148" spans="1:34" s="64" customFormat="1" ht="15.75">
      <c r="A148" s="582"/>
      <c r="B148" s="607"/>
      <c r="C148" s="244"/>
      <c r="D148" s="385" t="s">
        <v>993</v>
      </c>
      <c r="E148" s="199"/>
      <c r="F148" s="200"/>
      <c r="G148" s="199"/>
      <c r="H148" s="417">
        <v>3132</v>
      </c>
      <c r="I148" s="201">
        <f>80000+31500</f>
        <v>111500</v>
      </c>
      <c r="J148" s="201"/>
      <c r="K148" s="201"/>
      <c r="L148" s="51"/>
      <c r="M148" s="51">
        <v>80000</v>
      </c>
      <c r="N148" s="465"/>
      <c r="O148" s="465"/>
      <c r="P148" s="465"/>
      <c r="Q148" s="465"/>
      <c r="R148" s="465">
        <v>1500</v>
      </c>
      <c r="S148" s="465">
        <v>28500</v>
      </c>
      <c r="T148" s="465"/>
      <c r="U148" s="465">
        <v>50000</v>
      </c>
      <c r="V148" s="465"/>
      <c r="W148" s="465">
        <v>31500</v>
      </c>
      <c r="X148" s="465"/>
      <c r="Y148" s="465"/>
      <c r="Z148" s="465">
        <f>1493.25+3484.24</f>
        <v>4977.49</v>
      </c>
      <c r="AA148" s="407">
        <f t="shared" si="12"/>
        <v>106522.51</v>
      </c>
      <c r="AC148" s="500"/>
      <c r="AD148" s="516">
        <v>80000</v>
      </c>
      <c r="AE148" s="510"/>
      <c r="AF148" s="510" t="s">
        <v>499</v>
      </c>
      <c r="AG148" s="510" t="s">
        <v>495</v>
      </c>
      <c r="AH148" s="510"/>
    </row>
    <row r="149" spans="1:34" s="64" customFormat="1" ht="15.75">
      <c r="A149" s="582"/>
      <c r="B149" s="607"/>
      <c r="C149" s="244"/>
      <c r="D149" s="385" t="s">
        <v>994</v>
      </c>
      <c r="E149" s="199"/>
      <c r="F149" s="200"/>
      <c r="G149" s="199"/>
      <c r="H149" s="417">
        <v>3132</v>
      </c>
      <c r="I149" s="201">
        <v>80000</v>
      </c>
      <c r="J149" s="201"/>
      <c r="K149" s="201"/>
      <c r="L149" s="51"/>
      <c r="M149" s="51">
        <v>80000</v>
      </c>
      <c r="N149" s="465"/>
      <c r="O149" s="465"/>
      <c r="P149" s="465"/>
      <c r="Q149" s="465"/>
      <c r="R149" s="465">
        <v>1500</v>
      </c>
      <c r="S149" s="465">
        <v>28500</v>
      </c>
      <c r="T149" s="465"/>
      <c r="U149" s="465">
        <v>50000</v>
      </c>
      <c r="V149" s="465"/>
      <c r="W149" s="465"/>
      <c r="X149" s="465"/>
      <c r="Y149" s="465"/>
      <c r="Z149" s="465">
        <v>1590</v>
      </c>
      <c r="AA149" s="407">
        <f t="shared" si="12"/>
        <v>78410</v>
      </c>
      <c r="AC149" s="500"/>
      <c r="AD149" s="516">
        <v>80000</v>
      </c>
      <c r="AE149" s="510"/>
      <c r="AF149" s="510" t="s">
        <v>500</v>
      </c>
      <c r="AG149" s="510" t="s">
        <v>495</v>
      </c>
      <c r="AH149" s="510"/>
    </row>
    <row r="150" spans="1:34" s="64" customFormat="1" ht="15.75">
      <c r="A150" s="582"/>
      <c r="B150" s="607"/>
      <c r="C150" s="244"/>
      <c r="D150" s="385" t="s">
        <v>995</v>
      </c>
      <c r="E150" s="199"/>
      <c r="F150" s="200"/>
      <c r="G150" s="199"/>
      <c r="H150" s="417">
        <v>3132</v>
      </c>
      <c r="I150" s="201">
        <v>80000</v>
      </c>
      <c r="J150" s="201"/>
      <c r="K150" s="201"/>
      <c r="L150" s="51"/>
      <c r="M150" s="51">
        <v>80000</v>
      </c>
      <c r="N150" s="465"/>
      <c r="O150" s="465"/>
      <c r="P150" s="465"/>
      <c r="Q150" s="465"/>
      <c r="R150" s="465">
        <v>1500</v>
      </c>
      <c r="S150" s="465">
        <v>28500</v>
      </c>
      <c r="T150" s="465"/>
      <c r="U150" s="465">
        <v>50000</v>
      </c>
      <c r="V150" s="465"/>
      <c r="W150" s="465"/>
      <c r="X150" s="465"/>
      <c r="Y150" s="465"/>
      <c r="Z150" s="465">
        <v>1590</v>
      </c>
      <c r="AA150" s="407">
        <f t="shared" si="12"/>
        <v>78410</v>
      </c>
      <c r="AC150" s="500"/>
      <c r="AD150" s="516">
        <v>80000</v>
      </c>
      <c r="AE150" s="510"/>
      <c r="AF150" s="510" t="s">
        <v>501</v>
      </c>
      <c r="AG150" s="510" t="s">
        <v>495</v>
      </c>
      <c r="AH150" s="510"/>
    </row>
    <row r="151" spans="1:34" s="64" customFormat="1" ht="15.75">
      <c r="A151" s="582"/>
      <c r="B151" s="607"/>
      <c r="C151" s="244"/>
      <c r="D151" s="385" t="s">
        <v>996</v>
      </c>
      <c r="E151" s="199"/>
      <c r="F151" s="200"/>
      <c r="G151" s="199"/>
      <c r="H151" s="417">
        <v>3132</v>
      </c>
      <c r="I151" s="201">
        <v>80000</v>
      </c>
      <c r="J151" s="201"/>
      <c r="K151" s="201"/>
      <c r="L151" s="51"/>
      <c r="M151" s="51">
        <v>80000</v>
      </c>
      <c r="N151" s="465"/>
      <c r="O151" s="465"/>
      <c r="P151" s="465"/>
      <c r="Q151" s="465"/>
      <c r="R151" s="465">
        <v>1500</v>
      </c>
      <c r="S151" s="465">
        <v>28500</v>
      </c>
      <c r="T151" s="465"/>
      <c r="U151" s="465">
        <v>50000</v>
      </c>
      <c r="V151" s="465"/>
      <c r="W151" s="465"/>
      <c r="X151" s="465"/>
      <c r="Y151" s="465"/>
      <c r="Z151" s="465">
        <v>1590</v>
      </c>
      <c r="AA151" s="407">
        <f t="shared" si="12"/>
        <v>78410</v>
      </c>
      <c r="AC151" s="500"/>
      <c r="AD151" s="516">
        <v>80000</v>
      </c>
      <c r="AE151" s="510"/>
      <c r="AF151" s="510" t="s">
        <v>502</v>
      </c>
      <c r="AG151" s="510" t="s">
        <v>495</v>
      </c>
      <c r="AH151" s="510"/>
    </row>
    <row r="152" spans="1:34" ht="15.75">
      <c r="A152" s="582"/>
      <c r="B152" s="607"/>
      <c r="C152" s="167"/>
      <c r="D152" s="359" t="s">
        <v>1327</v>
      </c>
      <c r="E152" s="142"/>
      <c r="F152" s="143"/>
      <c r="G152" s="142"/>
      <c r="H152" s="417">
        <v>3110</v>
      </c>
      <c r="I152" s="144">
        <v>50000</v>
      </c>
      <c r="J152" s="144"/>
      <c r="K152" s="144"/>
      <c r="L152" s="49"/>
      <c r="M152" s="49">
        <v>50000</v>
      </c>
      <c r="N152" s="407"/>
      <c r="O152" s="407"/>
      <c r="P152" s="407"/>
      <c r="Q152" s="407"/>
      <c r="R152" s="407"/>
      <c r="S152" s="407"/>
      <c r="T152" s="407">
        <v>50000</v>
      </c>
      <c r="U152" s="407"/>
      <c r="V152" s="407"/>
      <c r="W152" s="407"/>
      <c r="X152" s="407"/>
      <c r="Y152" s="407"/>
      <c r="Z152" s="407"/>
      <c r="AA152" s="407">
        <f t="shared" si="12"/>
        <v>50000</v>
      </c>
      <c r="AC152" s="499"/>
      <c r="AD152" s="513">
        <v>50000</v>
      </c>
      <c r="AE152" s="508"/>
      <c r="AF152" s="508"/>
      <c r="AG152" s="508"/>
      <c r="AH152" s="507" t="s">
        <v>496</v>
      </c>
    </row>
    <row r="153" spans="1:34" ht="15.75">
      <c r="A153" s="582"/>
      <c r="B153" s="607"/>
      <c r="C153" s="167"/>
      <c r="D153" s="359" t="s">
        <v>351</v>
      </c>
      <c r="E153" s="142"/>
      <c r="F153" s="143"/>
      <c r="G153" s="142"/>
      <c r="H153" s="417"/>
      <c r="I153" s="144">
        <f>I155+I156+I157+I158+I159+I160+I161+I162+I163+I164+I165+I166+I167+I168+I169+I170+I171+I172+I154</f>
        <v>1485000</v>
      </c>
      <c r="J153" s="144">
        <f aca="true" t="shared" si="20" ref="J153:Z153">J155+J156+J157+J158+J159+J160+J161+J162+J163+J164+J165+J166+J167+J168+J169+J170+J171+J172+J154</f>
        <v>0</v>
      </c>
      <c r="K153" s="144">
        <f t="shared" si="20"/>
        <v>0</v>
      </c>
      <c r="L153" s="144">
        <f t="shared" si="20"/>
        <v>0</v>
      </c>
      <c r="M153" s="144">
        <f t="shared" si="20"/>
        <v>0</v>
      </c>
      <c r="N153" s="144">
        <f t="shared" si="20"/>
        <v>0</v>
      </c>
      <c r="O153" s="144">
        <f t="shared" si="20"/>
        <v>0</v>
      </c>
      <c r="P153" s="144">
        <f t="shared" si="20"/>
        <v>0</v>
      </c>
      <c r="Q153" s="144">
        <f t="shared" si="20"/>
        <v>0</v>
      </c>
      <c r="R153" s="144">
        <f t="shared" si="20"/>
        <v>0</v>
      </c>
      <c r="S153" s="144">
        <f t="shared" si="20"/>
        <v>0</v>
      </c>
      <c r="T153" s="144">
        <f t="shared" si="20"/>
        <v>0</v>
      </c>
      <c r="U153" s="144">
        <f t="shared" si="20"/>
        <v>440000</v>
      </c>
      <c r="V153" s="144">
        <f t="shared" si="20"/>
        <v>46000</v>
      </c>
      <c r="W153" s="144">
        <f t="shared" si="20"/>
        <v>338000</v>
      </c>
      <c r="X153" s="144">
        <f t="shared" si="20"/>
        <v>192000</v>
      </c>
      <c r="Y153" s="144">
        <f t="shared" si="20"/>
        <v>469000</v>
      </c>
      <c r="Z153" s="144">
        <f t="shared" si="20"/>
        <v>0</v>
      </c>
      <c r="AA153" s="407">
        <f aca="true" t="shared" si="21" ref="AA153:AA216">N153+O153+P153+Q153+R153+S153+T153+U153+V153+W153+X153-Z153</f>
        <v>1016000</v>
      </c>
      <c r="AC153" s="499"/>
      <c r="AD153" s="513"/>
      <c r="AE153" s="508"/>
      <c r="AF153" s="508"/>
      <c r="AG153" s="508"/>
      <c r="AH153" s="507"/>
    </row>
    <row r="154" spans="1:34" ht="15.75" hidden="1">
      <c r="A154" s="582"/>
      <c r="B154" s="607"/>
      <c r="C154" s="167"/>
      <c r="D154" s="359"/>
      <c r="E154" s="142"/>
      <c r="F154" s="143"/>
      <c r="G154" s="142"/>
      <c r="H154" s="417"/>
      <c r="I154" s="144"/>
      <c r="J154" s="144"/>
      <c r="K154" s="144"/>
      <c r="L154" s="144"/>
      <c r="M154" s="144"/>
      <c r="N154" s="144"/>
      <c r="O154" s="144"/>
      <c r="P154" s="144"/>
      <c r="Q154" s="144"/>
      <c r="R154" s="144"/>
      <c r="S154" s="144"/>
      <c r="T154" s="144"/>
      <c r="U154" s="144">
        <v>440000</v>
      </c>
      <c r="V154" s="144">
        <v>46000</v>
      </c>
      <c r="W154" s="144">
        <v>-486000</v>
      </c>
      <c r="X154" s="144"/>
      <c r="Y154" s="144"/>
      <c r="Z154" s="144"/>
      <c r="AA154" s="407">
        <f t="shared" si="21"/>
        <v>0</v>
      </c>
      <c r="AC154" s="499"/>
      <c r="AD154" s="513"/>
      <c r="AE154" s="508"/>
      <c r="AF154" s="508"/>
      <c r="AG154" s="508"/>
      <c r="AH154" s="507"/>
    </row>
    <row r="155" spans="1:34" ht="15.75">
      <c r="A155" s="582"/>
      <c r="B155" s="607"/>
      <c r="C155" s="167"/>
      <c r="D155" s="541" t="s">
        <v>352</v>
      </c>
      <c r="E155" s="142"/>
      <c r="F155" s="143"/>
      <c r="G155" s="142"/>
      <c r="H155" s="417">
        <v>3132</v>
      </c>
      <c r="I155" s="144">
        <v>93000</v>
      </c>
      <c r="J155" s="144"/>
      <c r="K155" s="144"/>
      <c r="L155" s="49"/>
      <c r="M155" s="49"/>
      <c r="N155" s="407"/>
      <c r="O155" s="407"/>
      <c r="P155" s="407"/>
      <c r="Q155" s="407"/>
      <c r="R155" s="407"/>
      <c r="S155" s="407"/>
      <c r="T155" s="407"/>
      <c r="U155" s="407"/>
      <c r="V155" s="407"/>
      <c r="W155" s="407">
        <v>93000</v>
      </c>
      <c r="X155" s="407"/>
      <c r="Y155" s="407"/>
      <c r="Z155" s="407"/>
      <c r="AA155" s="407">
        <f t="shared" si="21"/>
        <v>93000</v>
      </c>
      <c r="AC155" s="499"/>
      <c r="AD155" s="407"/>
      <c r="AE155" s="508"/>
      <c r="AF155" s="508"/>
      <c r="AG155" s="508"/>
      <c r="AH155" s="507"/>
    </row>
    <row r="156" spans="1:34" ht="15.75">
      <c r="A156" s="582"/>
      <c r="B156" s="607"/>
      <c r="C156" s="167"/>
      <c r="D156" s="541" t="s">
        <v>353</v>
      </c>
      <c r="E156" s="142"/>
      <c r="F156" s="143"/>
      <c r="G156" s="142"/>
      <c r="H156" s="417">
        <v>3132</v>
      </c>
      <c r="I156" s="144">
        <v>93000</v>
      </c>
      <c r="J156" s="144"/>
      <c r="K156" s="144"/>
      <c r="L156" s="49"/>
      <c r="M156" s="49"/>
      <c r="N156" s="407"/>
      <c r="O156" s="407"/>
      <c r="P156" s="407"/>
      <c r="Q156" s="407"/>
      <c r="R156" s="407"/>
      <c r="S156" s="407"/>
      <c r="T156" s="407"/>
      <c r="U156" s="407"/>
      <c r="V156" s="407"/>
      <c r="W156" s="407">
        <v>93000</v>
      </c>
      <c r="X156" s="407"/>
      <c r="Y156" s="407"/>
      <c r="Z156" s="407"/>
      <c r="AA156" s="407">
        <f t="shared" si="21"/>
        <v>93000</v>
      </c>
      <c r="AC156" s="499"/>
      <c r="AD156" s="513"/>
      <c r="AE156" s="508"/>
      <c r="AF156" s="508"/>
      <c r="AG156" s="508"/>
      <c r="AH156" s="507"/>
    </row>
    <row r="157" spans="1:34" ht="15.75">
      <c r="A157" s="582"/>
      <c r="B157" s="607"/>
      <c r="C157" s="167"/>
      <c r="D157" s="541" t="s">
        <v>354</v>
      </c>
      <c r="E157" s="142"/>
      <c r="F157" s="143"/>
      <c r="G157" s="142"/>
      <c r="H157" s="417">
        <v>3132</v>
      </c>
      <c r="I157" s="144">
        <v>30000</v>
      </c>
      <c r="J157" s="144"/>
      <c r="K157" s="144"/>
      <c r="L157" s="49"/>
      <c r="M157" s="49"/>
      <c r="N157" s="407"/>
      <c r="O157" s="407"/>
      <c r="P157" s="407"/>
      <c r="Q157" s="407"/>
      <c r="R157" s="407"/>
      <c r="S157" s="407"/>
      <c r="T157" s="407"/>
      <c r="U157" s="407"/>
      <c r="V157" s="407"/>
      <c r="W157" s="407">
        <v>30000</v>
      </c>
      <c r="X157" s="407"/>
      <c r="Y157" s="407"/>
      <c r="Z157" s="407"/>
      <c r="AA157" s="407">
        <f t="shared" si="21"/>
        <v>30000</v>
      </c>
      <c r="AC157" s="499"/>
      <c r="AD157" s="513"/>
      <c r="AE157" s="508"/>
      <c r="AF157" s="508"/>
      <c r="AG157" s="508"/>
      <c r="AH157" s="507"/>
    </row>
    <row r="158" spans="1:34" ht="15.75">
      <c r="A158" s="582"/>
      <c r="B158" s="607"/>
      <c r="C158" s="167"/>
      <c r="D158" s="541" t="s">
        <v>355</v>
      </c>
      <c r="E158" s="142"/>
      <c r="F158" s="143"/>
      <c r="G158" s="142"/>
      <c r="H158" s="417">
        <v>3132</v>
      </c>
      <c r="I158" s="144">
        <v>93000</v>
      </c>
      <c r="J158" s="144"/>
      <c r="K158" s="144"/>
      <c r="L158" s="49"/>
      <c r="M158" s="49"/>
      <c r="N158" s="407"/>
      <c r="O158" s="407"/>
      <c r="P158" s="407"/>
      <c r="Q158" s="407"/>
      <c r="R158" s="407"/>
      <c r="S158" s="407"/>
      <c r="T158" s="407"/>
      <c r="U158" s="407"/>
      <c r="V158" s="407"/>
      <c r="W158" s="407">
        <v>93000</v>
      </c>
      <c r="X158" s="407"/>
      <c r="Y158" s="407"/>
      <c r="Z158" s="407"/>
      <c r="AA158" s="407">
        <f t="shared" si="21"/>
        <v>93000</v>
      </c>
      <c r="AC158" s="499"/>
      <c r="AD158" s="513"/>
      <c r="AE158" s="508"/>
      <c r="AF158" s="508"/>
      <c r="AG158" s="508"/>
      <c r="AH158" s="507"/>
    </row>
    <row r="159" spans="1:34" ht="15.75">
      <c r="A159" s="582"/>
      <c r="B159" s="607"/>
      <c r="C159" s="167"/>
      <c r="D159" s="541" t="s">
        <v>356</v>
      </c>
      <c r="E159" s="142"/>
      <c r="F159" s="143"/>
      <c r="G159" s="142"/>
      <c r="H159" s="417">
        <v>3132</v>
      </c>
      <c r="I159" s="144">
        <v>93000</v>
      </c>
      <c r="J159" s="144"/>
      <c r="K159" s="144"/>
      <c r="L159" s="49"/>
      <c r="M159" s="49"/>
      <c r="N159" s="407"/>
      <c r="O159" s="407"/>
      <c r="P159" s="407"/>
      <c r="Q159" s="407"/>
      <c r="R159" s="407"/>
      <c r="S159" s="407"/>
      <c r="T159" s="407"/>
      <c r="U159" s="407"/>
      <c r="V159" s="407"/>
      <c r="W159" s="407">
        <v>93000</v>
      </c>
      <c r="X159" s="407"/>
      <c r="Y159" s="407"/>
      <c r="Z159" s="407"/>
      <c r="AA159" s="407">
        <f t="shared" si="21"/>
        <v>93000</v>
      </c>
      <c r="AC159" s="499"/>
      <c r="AD159" s="513"/>
      <c r="AE159" s="508"/>
      <c r="AF159" s="508"/>
      <c r="AG159" s="508"/>
      <c r="AH159" s="507"/>
    </row>
    <row r="160" spans="1:34" ht="15.75">
      <c r="A160" s="582"/>
      <c r="B160" s="607"/>
      <c r="C160" s="167"/>
      <c r="D160" s="541" t="s">
        <v>357</v>
      </c>
      <c r="E160" s="142"/>
      <c r="F160" s="143"/>
      <c r="G160" s="142"/>
      <c r="H160" s="417">
        <v>3132</v>
      </c>
      <c r="I160" s="144">
        <v>30000</v>
      </c>
      <c r="J160" s="144"/>
      <c r="K160" s="144"/>
      <c r="L160" s="49"/>
      <c r="M160" s="49"/>
      <c r="N160" s="407"/>
      <c r="O160" s="407"/>
      <c r="P160" s="407"/>
      <c r="Q160" s="407"/>
      <c r="R160" s="407"/>
      <c r="S160" s="407"/>
      <c r="T160" s="407"/>
      <c r="U160" s="407"/>
      <c r="V160" s="407"/>
      <c r="W160" s="407"/>
      <c r="X160" s="407"/>
      <c r="Y160" s="407">
        <v>30000</v>
      </c>
      <c r="Z160" s="407"/>
      <c r="AA160" s="407">
        <f t="shared" si="21"/>
        <v>0</v>
      </c>
      <c r="AC160" s="499"/>
      <c r="AD160" s="513"/>
      <c r="AE160" s="508"/>
      <c r="AF160" s="508"/>
      <c r="AG160" s="508"/>
      <c r="AH160" s="507"/>
    </row>
    <row r="161" spans="1:34" ht="15.75">
      <c r="A161" s="582"/>
      <c r="B161" s="607"/>
      <c r="C161" s="167"/>
      <c r="D161" s="541" t="s">
        <v>358</v>
      </c>
      <c r="E161" s="142"/>
      <c r="F161" s="143"/>
      <c r="G161" s="142"/>
      <c r="H161" s="417">
        <v>3132</v>
      </c>
      <c r="I161" s="144">
        <v>93000</v>
      </c>
      <c r="J161" s="144"/>
      <c r="K161" s="144"/>
      <c r="L161" s="49"/>
      <c r="M161" s="49"/>
      <c r="N161" s="407"/>
      <c r="O161" s="407"/>
      <c r="P161" s="407"/>
      <c r="Q161" s="407"/>
      <c r="R161" s="407"/>
      <c r="S161" s="407"/>
      <c r="T161" s="407"/>
      <c r="U161" s="407"/>
      <c r="V161" s="407"/>
      <c r="W161" s="407">
        <v>93000</v>
      </c>
      <c r="X161" s="407"/>
      <c r="Y161" s="407"/>
      <c r="Z161" s="407"/>
      <c r="AA161" s="407">
        <f t="shared" si="21"/>
        <v>93000</v>
      </c>
      <c r="AC161" s="499"/>
      <c r="AD161" s="513"/>
      <c r="AE161" s="508"/>
      <c r="AF161" s="508"/>
      <c r="AG161" s="508"/>
      <c r="AH161" s="507"/>
    </row>
    <row r="162" spans="1:34" ht="15.75">
      <c r="A162" s="582"/>
      <c r="B162" s="607"/>
      <c r="C162" s="167"/>
      <c r="D162" s="541" t="s">
        <v>359</v>
      </c>
      <c r="E162" s="142"/>
      <c r="F162" s="143"/>
      <c r="G162" s="142"/>
      <c r="H162" s="417">
        <v>3132</v>
      </c>
      <c r="I162" s="144">
        <v>93000</v>
      </c>
      <c r="J162" s="144"/>
      <c r="K162" s="144"/>
      <c r="L162" s="49"/>
      <c r="M162" s="49"/>
      <c r="N162" s="407"/>
      <c r="O162" s="407"/>
      <c r="P162" s="407"/>
      <c r="Q162" s="407"/>
      <c r="R162" s="407"/>
      <c r="S162" s="407"/>
      <c r="T162" s="407"/>
      <c r="U162" s="407"/>
      <c r="V162" s="407"/>
      <c r="W162" s="407">
        <v>93000</v>
      </c>
      <c r="X162" s="407"/>
      <c r="Y162" s="407"/>
      <c r="Z162" s="407"/>
      <c r="AA162" s="407">
        <f t="shared" si="21"/>
        <v>93000</v>
      </c>
      <c r="AC162" s="499"/>
      <c r="AD162" s="513"/>
      <c r="AE162" s="508"/>
      <c r="AF162" s="508"/>
      <c r="AG162" s="508"/>
      <c r="AH162" s="507"/>
    </row>
    <row r="163" spans="1:34" ht="15.75">
      <c r="A163" s="582"/>
      <c r="B163" s="607"/>
      <c r="C163" s="167"/>
      <c r="D163" s="541" t="s">
        <v>360</v>
      </c>
      <c r="E163" s="142"/>
      <c r="F163" s="143"/>
      <c r="G163" s="142"/>
      <c r="H163" s="417">
        <v>3132</v>
      </c>
      <c r="I163" s="144">
        <v>93000</v>
      </c>
      <c r="J163" s="144"/>
      <c r="K163" s="144"/>
      <c r="L163" s="49"/>
      <c r="M163" s="49"/>
      <c r="N163" s="407"/>
      <c r="O163" s="407"/>
      <c r="P163" s="407"/>
      <c r="Q163" s="407"/>
      <c r="R163" s="407"/>
      <c r="S163" s="407"/>
      <c r="T163" s="407"/>
      <c r="U163" s="407"/>
      <c r="V163" s="407"/>
      <c r="W163" s="407">
        <v>93000</v>
      </c>
      <c r="X163" s="407"/>
      <c r="Y163" s="407"/>
      <c r="Z163" s="407"/>
      <c r="AA163" s="407">
        <f t="shared" si="21"/>
        <v>93000</v>
      </c>
      <c r="AC163" s="499"/>
      <c r="AD163" s="513"/>
      <c r="AE163" s="508"/>
      <c r="AF163" s="508"/>
      <c r="AG163" s="508"/>
      <c r="AH163" s="507"/>
    </row>
    <row r="164" spans="1:34" ht="15.75">
      <c r="A164" s="582"/>
      <c r="B164" s="607"/>
      <c r="C164" s="167"/>
      <c r="D164" s="541" t="s">
        <v>361</v>
      </c>
      <c r="E164" s="142"/>
      <c r="F164" s="143"/>
      <c r="G164" s="142"/>
      <c r="H164" s="417">
        <v>3132</v>
      </c>
      <c r="I164" s="144">
        <v>93000</v>
      </c>
      <c r="J164" s="144"/>
      <c r="K164" s="144"/>
      <c r="L164" s="49"/>
      <c r="M164" s="49"/>
      <c r="N164" s="407"/>
      <c r="O164" s="407"/>
      <c r="P164" s="407"/>
      <c r="Q164" s="407"/>
      <c r="R164" s="407"/>
      <c r="S164" s="407"/>
      <c r="T164" s="407"/>
      <c r="U164" s="407"/>
      <c r="V164" s="407"/>
      <c r="W164" s="407"/>
      <c r="X164" s="407">
        <v>93000</v>
      </c>
      <c r="Y164" s="407"/>
      <c r="Z164" s="407"/>
      <c r="AA164" s="407">
        <f t="shared" si="21"/>
        <v>93000</v>
      </c>
      <c r="AC164" s="499"/>
      <c r="AD164" s="513"/>
      <c r="AE164" s="508"/>
      <c r="AF164" s="508"/>
      <c r="AG164" s="508"/>
      <c r="AH164" s="507"/>
    </row>
    <row r="165" spans="1:34" ht="15.75">
      <c r="A165" s="582"/>
      <c r="B165" s="607"/>
      <c r="C165" s="167"/>
      <c r="D165" s="541" t="s">
        <v>362</v>
      </c>
      <c r="E165" s="142"/>
      <c r="F165" s="143"/>
      <c r="G165" s="142"/>
      <c r="H165" s="417">
        <v>3132</v>
      </c>
      <c r="I165" s="144">
        <v>93000</v>
      </c>
      <c r="J165" s="144"/>
      <c r="K165" s="144"/>
      <c r="L165" s="49"/>
      <c r="M165" s="49"/>
      <c r="N165" s="407"/>
      <c r="O165" s="407"/>
      <c r="P165" s="407"/>
      <c r="Q165" s="407"/>
      <c r="R165" s="407"/>
      <c r="S165" s="407"/>
      <c r="T165" s="407"/>
      <c r="U165" s="407"/>
      <c r="V165" s="407"/>
      <c r="W165" s="407"/>
      <c r="X165" s="407">
        <v>93000</v>
      </c>
      <c r="Y165" s="407"/>
      <c r="Z165" s="407"/>
      <c r="AA165" s="407">
        <f t="shared" si="21"/>
        <v>93000</v>
      </c>
      <c r="AC165" s="499"/>
      <c r="AD165" s="513"/>
      <c r="AE165" s="508"/>
      <c r="AF165" s="508"/>
      <c r="AG165" s="508"/>
      <c r="AH165" s="507"/>
    </row>
    <row r="166" spans="1:34" ht="15.75">
      <c r="A166" s="582"/>
      <c r="B166" s="607"/>
      <c r="C166" s="167"/>
      <c r="D166" s="541" t="s">
        <v>363</v>
      </c>
      <c r="E166" s="142"/>
      <c r="F166" s="143"/>
      <c r="G166" s="142"/>
      <c r="H166" s="417">
        <v>3132</v>
      </c>
      <c r="I166" s="144">
        <v>30000</v>
      </c>
      <c r="J166" s="144"/>
      <c r="K166" s="144"/>
      <c r="L166" s="49"/>
      <c r="M166" s="49"/>
      <c r="N166" s="407"/>
      <c r="O166" s="407"/>
      <c r="P166" s="407"/>
      <c r="Q166" s="407"/>
      <c r="R166" s="407"/>
      <c r="S166" s="407"/>
      <c r="T166" s="407"/>
      <c r="U166" s="407"/>
      <c r="V166" s="407"/>
      <c r="W166" s="407">
        <v>30000</v>
      </c>
      <c r="X166" s="407"/>
      <c r="Y166" s="407"/>
      <c r="Z166" s="407"/>
      <c r="AA166" s="407">
        <f t="shared" si="21"/>
        <v>30000</v>
      </c>
      <c r="AC166" s="499"/>
      <c r="AD166" s="513"/>
      <c r="AE166" s="508"/>
      <c r="AF166" s="508"/>
      <c r="AG166" s="508"/>
      <c r="AH166" s="507"/>
    </row>
    <row r="167" spans="1:34" ht="15.75">
      <c r="A167" s="582"/>
      <c r="B167" s="607"/>
      <c r="C167" s="167"/>
      <c r="D167" s="541" t="s">
        <v>364</v>
      </c>
      <c r="E167" s="142"/>
      <c r="F167" s="143"/>
      <c r="G167" s="142"/>
      <c r="H167" s="417">
        <v>3132</v>
      </c>
      <c r="I167" s="144">
        <v>93000</v>
      </c>
      <c r="J167" s="144"/>
      <c r="K167" s="144"/>
      <c r="L167" s="49"/>
      <c r="M167" s="49"/>
      <c r="N167" s="407"/>
      <c r="O167" s="407"/>
      <c r="P167" s="407"/>
      <c r="Q167" s="407"/>
      <c r="R167" s="407"/>
      <c r="S167" s="407"/>
      <c r="T167" s="407"/>
      <c r="U167" s="407"/>
      <c r="V167" s="407"/>
      <c r="W167" s="407">
        <v>93000</v>
      </c>
      <c r="X167" s="407"/>
      <c r="Y167" s="407"/>
      <c r="Z167" s="407"/>
      <c r="AA167" s="407">
        <f t="shared" si="21"/>
        <v>93000</v>
      </c>
      <c r="AC167" s="499"/>
      <c r="AD167" s="513"/>
      <c r="AE167" s="508"/>
      <c r="AF167" s="508"/>
      <c r="AG167" s="508"/>
      <c r="AH167" s="507"/>
    </row>
    <row r="168" spans="1:34" ht="15.75">
      <c r="A168" s="582"/>
      <c r="B168" s="607"/>
      <c r="C168" s="167"/>
      <c r="D168" s="541" t="s">
        <v>365</v>
      </c>
      <c r="E168" s="142"/>
      <c r="F168" s="143"/>
      <c r="G168" s="142"/>
      <c r="H168" s="417">
        <v>3132</v>
      </c>
      <c r="I168" s="144">
        <v>93000</v>
      </c>
      <c r="J168" s="144"/>
      <c r="K168" s="144"/>
      <c r="L168" s="49"/>
      <c r="M168" s="49"/>
      <c r="N168" s="407"/>
      <c r="O168" s="407"/>
      <c r="P168" s="407"/>
      <c r="Q168" s="407"/>
      <c r="R168" s="407"/>
      <c r="S168" s="407"/>
      <c r="T168" s="407"/>
      <c r="U168" s="407"/>
      <c r="V168" s="407"/>
      <c r="W168" s="407"/>
      <c r="X168" s="407"/>
      <c r="Y168" s="407">
        <v>93000</v>
      </c>
      <c r="Z168" s="407"/>
      <c r="AA168" s="407">
        <f t="shared" si="21"/>
        <v>0</v>
      </c>
      <c r="AC168" s="499"/>
      <c r="AD168" s="513"/>
      <c r="AE168" s="508"/>
      <c r="AF168" s="508"/>
      <c r="AG168" s="508"/>
      <c r="AH168" s="507"/>
    </row>
    <row r="169" spans="1:34" ht="15.75">
      <c r="A169" s="582"/>
      <c r="B169" s="607"/>
      <c r="C169" s="167"/>
      <c r="D169" s="541" t="s">
        <v>366</v>
      </c>
      <c r="E169" s="142"/>
      <c r="F169" s="143"/>
      <c r="G169" s="142"/>
      <c r="H169" s="417">
        <v>3132</v>
      </c>
      <c r="I169" s="144">
        <v>93000</v>
      </c>
      <c r="J169" s="144"/>
      <c r="K169" s="144"/>
      <c r="L169" s="49"/>
      <c r="M169" s="49"/>
      <c r="N169" s="407"/>
      <c r="O169" s="407"/>
      <c r="P169" s="407"/>
      <c r="Q169" s="407"/>
      <c r="R169" s="407"/>
      <c r="S169" s="407"/>
      <c r="T169" s="407"/>
      <c r="U169" s="407"/>
      <c r="V169" s="407"/>
      <c r="W169" s="407"/>
      <c r="X169" s="407"/>
      <c r="Y169" s="407">
        <v>93000</v>
      </c>
      <c r="Z169" s="407"/>
      <c r="AA169" s="407">
        <f t="shared" si="21"/>
        <v>0</v>
      </c>
      <c r="AC169" s="499"/>
      <c r="AD169" s="513"/>
      <c r="AE169" s="508"/>
      <c r="AF169" s="508"/>
      <c r="AG169" s="508"/>
      <c r="AH169" s="507"/>
    </row>
    <row r="170" spans="1:34" ht="15.75">
      <c r="A170" s="582"/>
      <c r="B170" s="607"/>
      <c r="C170" s="167"/>
      <c r="D170" s="541" t="s">
        <v>807</v>
      </c>
      <c r="E170" s="142"/>
      <c r="F170" s="143"/>
      <c r="G170" s="142"/>
      <c r="H170" s="417">
        <v>3132</v>
      </c>
      <c r="I170" s="144">
        <v>93000</v>
      </c>
      <c r="J170" s="144"/>
      <c r="K170" s="144"/>
      <c r="L170" s="49"/>
      <c r="M170" s="49"/>
      <c r="N170" s="407"/>
      <c r="O170" s="407"/>
      <c r="P170" s="407"/>
      <c r="Q170" s="407"/>
      <c r="R170" s="407"/>
      <c r="S170" s="407"/>
      <c r="T170" s="407"/>
      <c r="U170" s="407"/>
      <c r="V170" s="407"/>
      <c r="W170" s="407"/>
      <c r="X170" s="407"/>
      <c r="Y170" s="407">
        <v>93000</v>
      </c>
      <c r="Z170" s="407"/>
      <c r="AA170" s="407">
        <f t="shared" si="21"/>
        <v>0</v>
      </c>
      <c r="AC170" s="499"/>
      <c r="AD170" s="513"/>
      <c r="AE170" s="508"/>
      <c r="AF170" s="508"/>
      <c r="AG170" s="508"/>
      <c r="AH170" s="507"/>
    </row>
    <row r="171" spans="1:34" ht="15.75">
      <c r="A171" s="582"/>
      <c r="B171" s="607"/>
      <c r="C171" s="167"/>
      <c r="D171" s="541" t="s">
        <v>808</v>
      </c>
      <c r="E171" s="142"/>
      <c r="F171" s="143"/>
      <c r="G171" s="142"/>
      <c r="H171" s="417">
        <v>3132</v>
      </c>
      <c r="I171" s="144">
        <v>93000</v>
      </c>
      <c r="J171" s="144"/>
      <c r="K171" s="144"/>
      <c r="L171" s="49"/>
      <c r="M171" s="49"/>
      <c r="N171" s="407"/>
      <c r="O171" s="407"/>
      <c r="P171" s="407"/>
      <c r="Q171" s="407"/>
      <c r="R171" s="407"/>
      <c r="S171" s="407"/>
      <c r="T171" s="407"/>
      <c r="U171" s="407"/>
      <c r="V171" s="407"/>
      <c r="W171" s="407"/>
      <c r="X171" s="407"/>
      <c r="Y171" s="407">
        <v>93000</v>
      </c>
      <c r="Z171" s="407"/>
      <c r="AA171" s="407">
        <f t="shared" si="21"/>
        <v>0</v>
      </c>
      <c r="AC171" s="499"/>
      <c r="AD171" s="513"/>
      <c r="AE171" s="508"/>
      <c r="AF171" s="508"/>
      <c r="AG171" s="508"/>
      <c r="AH171" s="507"/>
    </row>
    <row r="172" spans="1:34" ht="15.75">
      <c r="A172" s="582"/>
      <c r="B172" s="607"/>
      <c r="C172" s="167"/>
      <c r="D172" s="541" t="s">
        <v>809</v>
      </c>
      <c r="E172" s="142"/>
      <c r="F172" s="143"/>
      <c r="G172" s="142"/>
      <c r="H172" s="417">
        <v>3132</v>
      </c>
      <c r="I172" s="144">
        <v>93000</v>
      </c>
      <c r="J172" s="144"/>
      <c r="K172" s="144"/>
      <c r="L172" s="49"/>
      <c r="M172" s="49"/>
      <c r="N172" s="407"/>
      <c r="O172" s="407"/>
      <c r="P172" s="407"/>
      <c r="Q172" s="407"/>
      <c r="R172" s="407"/>
      <c r="S172" s="407"/>
      <c r="T172" s="407"/>
      <c r="U172" s="407"/>
      <c r="V172" s="407"/>
      <c r="W172" s="407">
        <v>20000</v>
      </c>
      <c r="X172" s="407">
        <v>6000</v>
      </c>
      <c r="Y172" s="407">
        <v>67000</v>
      </c>
      <c r="Z172" s="407"/>
      <c r="AA172" s="407">
        <f t="shared" si="21"/>
        <v>26000</v>
      </c>
      <c r="AC172" s="499"/>
      <c r="AD172" s="513"/>
      <c r="AE172" s="508"/>
      <c r="AF172" s="508"/>
      <c r="AG172" s="508"/>
      <c r="AH172" s="507"/>
    </row>
    <row r="173" spans="1:34" ht="15.75">
      <c r="A173" s="582"/>
      <c r="B173" s="607"/>
      <c r="C173" s="167"/>
      <c r="D173" s="359" t="s">
        <v>604</v>
      </c>
      <c r="E173" s="142"/>
      <c r="F173" s="143"/>
      <c r="G173" s="142"/>
      <c r="H173" s="417">
        <v>3110</v>
      </c>
      <c r="I173" s="144">
        <v>746000</v>
      </c>
      <c r="J173" s="144"/>
      <c r="K173" s="144"/>
      <c r="L173" s="49"/>
      <c r="M173" s="49">
        <v>746000</v>
      </c>
      <c r="N173" s="407"/>
      <c r="O173" s="407"/>
      <c r="P173" s="407"/>
      <c r="Q173" s="407"/>
      <c r="R173" s="407"/>
      <c r="S173" s="407">
        <v>100000</v>
      </c>
      <c r="T173" s="407">
        <f>216000-56000</f>
        <v>160000</v>
      </c>
      <c r="U173" s="407">
        <v>56000</v>
      </c>
      <c r="V173" s="407">
        <v>230000</v>
      </c>
      <c r="W173" s="407"/>
      <c r="X173" s="407">
        <v>200000</v>
      </c>
      <c r="Y173" s="407"/>
      <c r="Z173" s="407"/>
      <c r="AA173" s="407">
        <f t="shared" si="21"/>
        <v>746000</v>
      </c>
      <c r="AC173" s="499"/>
      <c r="AD173" s="513">
        <v>746000</v>
      </c>
      <c r="AE173" s="508"/>
      <c r="AF173" s="508"/>
      <c r="AG173" s="508"/>
      <c r="AH173" s="507" t="s">
        <v>496</v>
      </c>
    </row>
    <row r="174" spans="1:34" ht="15.75">
      <c r="A174" s="582"/>
      <c r="B174" s="607"/>
      <c r="C174" s="167"/>
      <c r="D174" s="13" t="s">
        <v>1656</v>
      </c>
      <c r="E174" s="142"/>
      <c r="F174" s="143"/>
      <c r="G174" s="142"/>
      <c r="H174" s="417"/>
      <c r="I174" s="391">
        <f>SUM(I175:I177)</f>
        <v>479346.6</v>
      </c>
      <c r="J174" s="391">
        <f>SUM(J175:J177)</f>
        <v>0</v>
      </c>
      <c r="K174" s="391">
        <f>SUM(K175:K177)</f>
        <v>0</v>
      </c>
      <c r="L174" s="391">
        <f>SUM(L175:L177)</f>
        <v>0</v>
      </c>
      <c r="M174" s="391">
        <f>SUM(M175:M177)</f>
        <v>575770</v>
      </c>
      <c r="N174" s="391">
        <f aca="true" t="shared" si="22" ref="N174:Y174">SUM(N175:N177)</f>
        <v>0</v>
      </c>
      <c r="O174" s="391">
        <f t="shared" si="22"/>
        <v>0</v>
      </c>
      <c r="P174" s="391">
        <f t="shared" si="22"/>
        <v>0</v>
      </c>
      <c r="Q174" s="391">
        <f t="shared" si="22"/>
        <v>0</v>
      </c>
      <c r="R174" s="391">
        <f t="shared" si="22"/>
        <v>120000</v>
      </c>
      <c r="S174" s="391">
        <f t="shared" si="22"/>
        <v>182270</v>
      </c>
      <c r="T174" s="391">
        <f t="shared" si="22"/>
        <v>113500</v>
      </c>
      <c r="U174" s="391">
        <f t="shared" si="22"/>
        <v>132576.6</v>
      </c>
      <c r="V174" s="391">
        <f t="shared" si="22"/>
        <v>0</v>
      </c>
      <c r="W174" s="391">
        <f t="shared" si="22"/>
        <v>-69000</v>
      </c>
      <c r="X174" s="391">
        <f t="shared" si="22"/>
        <v>0</v>
      </c>
      <c r="Y174" s="391">
        <f t="shared" si="22"/>
        <v>0</v>
      </c>
      <c r="Z174" s="407">
        <f>Z175+Z176+Z177</f>
        <v>182275.93</v>
      </c>
      <c r="AA174" s="407">
        <f t="shared" si="21"/>
        <v>297070.67</v>
      </c>
      <c r="AC174" s="499"/>
      <c r="AD174" s="513"/>
      <c r="AE174" s="508"/>
      <c r="AF174" s="508"/>
      <c r="AG174" s="508"/>
      <c r="AH174" s="508"/>
    </row>
    <row r="175" spans="1:34" s="64" customFormat="1" ht="15.75">
      <c r="A175" s="582"/>
      <c r="B175" s="607"/>
      <c r="C175" s="244"/>
      <c r="D175" s="346" t="s">
        <v>1701</v>
      </c>
      <c r="E175" s="199"/>
      <c r="F175" s="200"/>
      <c r="G175" s="199"/>
      <c r="H175" s="417">
        <v>3132</v>
      </c>
      <c r="I175" s="201">
        <f>400000-39000</f>
        <v>361000</v>
      </c>
      <c r="J175" s="201"/>
      <c r="K175" s="201"/>
      <c r="L175" s="51"/>
      <c r="M175" s="51">
        <v>400000</v>
      </c>
      <c r="N175" s="465"/>
      <c r="O175" s="465"/>
      <c r="P175" s="465"/>
      <c r="Q175" s="465"/>
      <c r="R175" s="465">
        <v>120000</v>
      </c>
      <c r="S175" s="465">
        <v>120000</v>
      </c>
      <c r="T175" s="465"/>
      <c r="U175" s="465">
        <v>160000</v>
      </c>
      <c r="V175" s="465"/>
      <c r="W175" s="465">
        <v>-39000</v>
      </c>
      <c r="X175" s="465"/>
      <c r="Y175" s="465"/>
      <c r="Z175" s="465">
        <f>4874.51+102888.18+2800</f>
        <v>110562.69</v>
      </c>
      <c r="AA175" s="407">
        <f t="shared" si="21"/>
        <v>250437.31</v>
      </c>
      <c r="AC175" s="500"/>
      <c r="AD175" s="516">
        <v>400000</v>
      </c>
      <c r="AE175" s="510"/>
      <c r="AF175" s="510" t="s">
        <v>503</v>
      </c>
      <c r="AG175" s="510" t="s">
        <v>504</v>
      </c>
      <c r="AH175" s="510"/>
    </row>
    <row r="176" spans="1:34" s="64" customFormat="1" ht="15.75">
      <c r="A176" s="582"/>
      <c r="B176" s="607"/>
      <c r="C176" s="244"/>
      <c r="D176" s="346" t="s">
        <v>1659</v>
      </c>
      <c r="E176" s="199"/>
      <c r="F176" s="200"/>
      <c r="G176" s="199"/>
      <c r="H176" s="417">
        <v>3132</v>
      </c>
      <c r="I176" s="201">
        <v>62270</v>
      </c>
      <c r="J176" s="201"/>
      <c r="K176" s="201"/>
      <c r="L176" s="51"/>
      <c r="M176" s="51">
        <v>62270</v>
      </c>
      <c r="N176" s="465"/>
      <c r="O176" s="465"/>
      <c r="P176" s="465"/>
      <c r="Q176" s="465"/>
      <c r="R176" s="465"/>
      <c r="S176" s="465">
        <v>62270</v>
      </c>
      <c r="T176" s="465">
        <f>62270-62270</f>
        <v>0</v>
      </c>
      <c r="U176" s="465"/>
      <c r="V176" s="465"/>
      <c r="W176" s="465"/>
      <c r="X176" s="465"/>
      <c r="Y176" s="465"/>
      <c r="Z176" s="465">
        <v>62267.2</v>
      </c>
      <c r="AA176" s="407">
        <f t="shared" si="21"/>
        <v>2.8</v>
      </c>
      <c r="AC176" s="500"/>
      <c r="AD176" s="516">
        <v>62270</v>
      </c>
      <c r="AE176" s="510"/>
      <c r="AF176" s="510" t="s">
        <v>505</v>
      </c>
      <c r="AG176" s="510" t="s">
        <v>504</v>
      </c>
      <c r="AH176" s="510"/>
    </row>
    <row r="177" spans="1:34" s="64" customFormat="1" ht="15.75">
      <c r="A177" s="582"/>
      <c r="B177" s="607"/>
      <c r="C177" s="244"/>
      <c r="D177" s="346" t="s">
        <v>1702</v>
      </c>
      <c r="E177" s="199"/>
      <c r="F177" s="200"/>
      <c r="G177" s="199"/>
      <c r="H177" s="417">
        <v>3132</v>
      </c>
      <c r="I177" s="201">
        <f>113500-25000-2423.4-30000</f>
        <v>56076.6</v>
      </c>
      <c r="J177" s="201"/>
      <c r="K177" s="201"/>
      <c r="L177" s="51"/>
      <c r="M177" s="51">
        <v>113500</v>
      </c>
      <c r="N177" s="465"/>
      <c r="O177" s="465"/>
      <c r="P177" s="465"/>
      <c r="Q177" s="465"/>
      <c r="R177" s="465"/>
      <c r="S177" s="465"/>
      <c r="T177" s="465">
        <v>113500</v>
      </c>
      <c r="U177" s="465">
        <f>-2423.4+-25000</f>
        <v>-27423.4</v>
      </c>
      <c r="V177" s="465"/>
      <c r="W177" s="465">
        <v>-30000</v>
      </c>
      <c r="X177" s="465"/>
      <c r="Y177" s="465"/>
      <c r="Z177" s="465">
        <v>9446.04</v>
      </c>
      <c r="AA177" s="407">
        <f t="shared" si="21"/>
        <v>46630.56</v>
      </c>
      <c r="AC177" s="500"/>
      <c r="AD177" s="516">
        <v>113500</v>
      </c>
      <c r="AE177" s="510"/>
      <c r="AF177" s="510" t="s">
        <v>506</v>
      </c>
      <c r="AG177" s="510" t="s">
        <v>504</v>
      </c>
      <c r="AH177" s="510"/>
    </row>
    <row r="178" spans="1:34" ht="31.5">
      <c r="A178" s="582"/>
      <c r="B178" s="607"/>
      <c r="C178" s="167"/>
      <c r="D178" s="358" t="s">
        <v>1703</v>
      </c>
      <c r="E178" s="142"/>
      <c r="F178" s="143"/>
      <c r="G178" s="142"/>
      <c r="H178" s="417">
        <v>3132</v>
      </c>
      <c r="I178" s="144">
        <v>150000</v>
      </c>
      <c r="J178" s="144"/>
      <c r="K178" s="144"/>
      <c r="L178" s="49"/>
      <c r="M178" s="49">
        <v>150000</v>
      </c>
      <c r="N178" s="407"/>
      <c r="O178" s="407"/>
      <c r="P178" s="407"/>
      <c r="Q178" s="407"/>
      <c r="R178" s="407">
        <v>4500</v>
      </c>
      <c r="S178" s="407">
        <v>52500</v>
      </c>
      <c r="T178" s="407"/>
      <c r="U178" s="407">
        <v>93000</v>
      </c>
      <c r="V178" s="407"/>
      <c r="W178" s="407"/>
      <c r="X178" s="407"/>
      <c r="Y178" s="407"/>
      <c r="Z178" s="407">
        <f>4500+10500</f>
        <v>15000</v>
      </c>
      <c r="AA178" s="407">
        <f t="shared" si="21"/>
        <v>135000</v>
      </c>
      <c r="AC178" s="499"/>
      <c r="AD178" s="513">
        <v>150000</v>
      </c>
      <c r="AE178" s="507"/>
      <c r="AF178" s="507" t="s">
        <v>507</v>
      </c>
      <c r="AG178" s="507" t="s">
        <v>495</v>
      </c>
      <c r="AH178" s="508"/>
    </row>
    <row r="179" spans="1:34" ht="15.75">
      <c r="A179" s="582"/>
      <c r="B179" s="607"/>
      <c r="C179" s="167"/>
      <c r="D179" s="13" t="s">
        <v>1165</v>
      </c>
      <c r="E179" s="142"/>
      <c r="F179" s="143"/>
      <c r="G179" s="142"/>
      <c r="H179" s="417"/>
      <c r="I179" s="391">
        <f>SUM(I180:I182)</f>
        <v>189658</v>
      </c>
      <c r="J179" s="391">
        <f aca="true" t="shared" si="23" ref="J179:Z179">SUM(J180:J182)</f>
        <v>0</v>
      </c>
      <c r="K179" s="391">
        <f t="shared" si="23"/>
        <v>0</v>
      </c>
      <c r="L179" s="391">
        <f t="shared" si="23"/>
        <v>0</v>
      </c>
      <c r="M179" s="391">
        <f t="shared" si="23"/>
        <v>186858</v>
      </c>
      <c r="N179" s="391">
        <f t="shared" si="23"/>
        <v>0</v>
      </c>
      <c r="O179" s="391">
        <f t="shared" si="23"/>
        <v>0</v>
      </c>
      <c r="P179" s="391">
        <f t="shared" si="23"/>
        <v>0</v>
      </c>
      <c r="Q179" s="391">
        <f t="shared" si="23"/>
        <v>0</v>
      </c>
      <c r="R179" s="391">
        <f t="shared" si="23"/>
        <v>99200</v>
      </c>
      <c r="S179" s="391">
        <f t="shared" si="23"/>
        <v>48291</v>
      </c>
      <c r="T179" s="391">
        <f t="shared" si="23"/>
        <v>0</v>
      </c>
      <c r="U179" s="391">
        <f t="shared" si="23"/>
        <v>39367</v>
      </c>
      <c r="V179" s="391">
        <f t="shared" si="23"/>
        <v>0</v>
      </c>
      <c r="W179" s="391">
        <f t="shared" si="23"/>
        <v>2800</v>
      </c>
      <c r="X179" s="391">
        <f t="shared" si="23"/>
        <v>0</v>
      </c>
      <c r="Y179" s="391">
        <f t="shared" si="23"/>
        <v>0</v>
      </c>
      <c r="Z179" s="391">
        <f t="shared" si="23"/>
        <v>99594.6</v>
      </c>
      <c r="AA179" s="407">
        <f t="shared" si="21"/>
        <v>90063.4</v>
      </c>
      <c r="AC179" s="499"/>
      <c r="AD179" s="513"/>
      <c r="AE179" s="508"/>
      <c r="AF179" s="508"/>
      <c r="AG179" s="508"/>
      <c r="AH179" s="508"/>
    </row>
    <row r="180" spans="1:34" s="64" customFormat="1" ht="15.75">
      <c r="A180" s="582"/>
      <c r="B180" s="607"/>
      <c r="C180" s="244"/>
      <c r="D180" s="346" t="s">
        <v>1704</v>
      </c>
      <c r="E180" s="199"/>
      <c r="F180" s="200"/>
      <c r="G180" s="199"/>
      <c r="H180" s="417">
        <v>3132</v>
      </c>
      <c r="I180" s="201">
        <f>44051+2800</f>
        <v>46851</v>
      </c>
      <c r="J180" s="201"/>
      <c r="K180" s="201"/>
      <c r="L180" s="51"/>
      <c r="M180" s="51">
        <v>44051</v>
      </c>
      <c r="N180" s="465"/>
      <c r="O180" s="465"/>
      <c r="P180" s="465"/>
      <c r="Q180" s="465"/>
      <c r="R180" s="465">
        <v>13200</v>
      </c>
      <c r="S180" s="465">
        <v>30851</v>
      </c>
      <c r="T180" s="465"/>
      <c r="U180" s="465"/>
      <c r="V180" s="465"/>
      <c r="W180" s="465">
        <v>2800</v>
      </c>
      <c r="X180" s="465"/>
      <c r="Y180" s="465"/>
      <c r="Z180" s="465">
        <v>13492.71</v>
      </c>
      <c r="AA180" s="407">
        <f t="shared" si="21"/>
        <v>33358.29</v>
      </c>
      <c r="AC180" s="500"/>
      <c r="AD180" s="516">
        <v>44051</v>
      </c>
      <c r="AE180" s="510"/>
      <c r="AF180" s="510" t="s">
        <v>508</v>
      </c>
      <c r="AG180" s="510" t="s">
        <v>504</v>
      </c>
      <c r="AH180" s="510"/>
    </row>
    <row r="181" spans="1:34" s="64" customFormat="1" ht="15.75">
      <c r="A181" s="582"/>
      <c r="B181" s="607"/>
      <c r="C181" s="244"/>
      <c r="D181" s="346" t="s">
        <v>1705</v>
      </c>
      <c r="E181" s="199"/>
      <c r="F181" s="200"/>
      <c r="G181" s="199"/>
      <c r="H181" s="417">
        <v>3132</v>
      </c>
      <c r="I181" s="201">
        <v>100440</v>
      </c>
      <c r="J181" s="201"/>
      <c r="K181" s="201"/>
      <c r="L181" s="51"/>
      <c r="M181" s="51">
        <v>100440</v>
      </c>
      <c r="N181" s="465"/>
      <c r="O181" s="465"/>
      <c r="P181" s="465"/>
      <c r="Q181" s="465"/>
      <c r="R181" s="465">
        <v>83000</v>
      </c>
      <c r="S181" s="465">
        <v>17440</v>
      </c>
      <c r="T181" s="465"/>
      <c r="U181" s="465"/>
      <c r="V181" s="465"/>
      <c r="W181" s="465"/>
      <c r="X181" s="465"/>
      <c r="Y181" s="465"/>
      <c r="Z181" s="465">
        <f>8780+62859.6+12662.29</f>
        <v>84301.89</v>
      </c>
      <c r="AA181" s="407">
        <f t="shared" si="21"/>
        <v>16138.11</v>
      </c>
      <c r="AC181" s="500"/>
      <c r="AD181" s="516">
        <v>100440</v>
      </c>
      <c r="AE181" s="510"/>
      <c r="AF181" s="510" t="s">
        <v>509</v>
      </c>
      <c r="AG181" s="510" t="s">
        <v>504</v>
      </c>
      <c r="AH181" s="510"/>
    </row>
    <row r="182" spans="1:34" s="64" customFormat="1" ht="15.75">
      <c r="A182" s="582"/>
      <c r="B182" s="607"/>
      <c r="C182" s="244"/>
      <c r="D182" s="346" t="s">
        <v>1706</v>
      </c>
      <c r="E182" s="199"/>
      <c r="F182" s="200"/>
      <c r="G182" s="199"/>
      <c r="H182" s="417">
        <v>3132</v>
      </c>
      <c r="I182" s="201">
        <v>42367</v>
      </c>
      <c r="J182" s="201"/>
      <c r="K182" s="201"/>
      <c r="L182" s="51"/>
      <c r="M182" s="51">
        <v>42367</v>
      </c>
      <c r="N182" s="465"/>
      <c r="O182" s="465"/>
      <c r="P182" s="465"/>
      <c r="Q182" s="465"/>
      <c r="R182" s="465">
        <v>3000</v>
      </c>
      <c r="S182" s="465"/>
      <c r="T182" s="465"/>
      <c r="U182" s="465">
        <v>39367</v>
      </c>
      <c r="V182" s="465"/>
      <c r="W182" s="465"/>
      <c r="X182" s="465"/>
      <c r="Y182" s="465"/>
      <c r="Z182" s="465">
        <v>1800</v>
      </c>
      <c r="AA182" s="407">
        <f t="shared" si="21"/>
        <v>40567</v>
      </c>
      <c r="AC182" s="500"/>
      <c r="AD182" s="516">
        <v>42367</v>
      </c>
      <c r="AE182" s="510"/>
      <c r="AF182" s="510"/>
      <c r="AG182" s="510"/>
      <c r="AH182" s="510"/>
    </row>
    <row r="183" spans="1:34" ht="31.5">
      <c r="A183" s="582"/>
      <c r="B183" s="607"/>
      <c r="C183" s="167"/>
      <c r="D183" s="360" t="s">
        <v>528</v>
      </c>
      <c r="E183" s="142"/>
      <c r="F183" s="143"/>
      <c r="G183" s="142"/>
      <c r="H183" s="417">
        <v>3132</v>
      </c>
      <c r="I183" s="144">
        <f>305327-292000</f>
        <v>13327</v>
      </c>
      <c r="J183" s="144"/>
      <c r="K183" s="144"/>
      <c r="L183" s="49"/>
      <c r="M183" s="49">
        <v>305327</v>
      </c>
      <c r="N183" s="407"/>
      <c r="O183" s="407"/>
      <c r="P183" s="407"/>
      <c r="Q183" s="407"/>
      <c r="R183" s="407">
        <v>5000</v>
      </c>
      <c r="S183" s="407">
        <v>10000</v>
      </c>
      <c r="T183" s="407">
        <v>90000</v>
      </c>
      <c r="U183" s="407">
        <v>-92000</v>
      </c>
      <c r="V183" s="407">
        <f>200327-200000</f>
        <v>327</v>
      </c>
      <c r="W183" s="407"/>
      <c r="X183" s="407"/>
      <c r="Y183" s="407"/>
      <c r="Z183" s="407">
        <v>2827.94</v>
      </c>
      <c r="AA183" s="407">
        <f t="shared" si="21"/>
        <v>10499.06</v>
      </c>
      <c r="AB183" s="40"/>
      <c r="AC183" s="499"/>
      <c r="AD183" s="513">
        <v>305327</v>
      </c>
      <c r="AE183" s="508"/>
      <c r="AF183" s="508"/>
      <c r="AG183" s="508"/>
      <c r="AH183" s="508"/>
    </row>
    <row r="184" spans="1:34" ht="31.5">
      <c r="A184" s="582"/>
      <c r="B184" s="607"/>
      <c r="C184" s="167"/>
      <c r="D184" s="359" t="s">
        <v>529</v>
      </c>
      <c r="E184" s="142"/>
      <c r="F184" s="143"/>
      <c r="G184" s="142"/>
      <c r="H184" s="417">
        <v>3110</v>
      </c>
      <c r="I184" s="144">
        <v>5100</v>
      </c>
      <c r="J184" s="144"/>
      <c r="K184" s="144"/>
      <c r="L184" s="49"/>
      <c r="M184" s="49">
        <v>5100</v>
      </c>
      <c r="N184" s="407"/>
      <c r="O184" s="407"/>
      <c r="P184" s="407"/>
      <c r="Q184" s="407"/>
      <c r="R184" s="407"/>
      <c r="S184" s="407"/>
      <c r="T184" s="407"/>
      <c r="U184" s="407"/>
      <c r="V184" s="407"/>
      <c r="W184" s="407"/>
      <c r="X184" s="407">
        <v>5100</v>
      </c>
      <c r="Y184" s="407"/>
      <c r="Z184" s="407"/>
      <c r="AA184" s="407">
        <f t="shared" si="21"/>
        <v>5100</v>
      </c>
      <c r="AC184" s="499"/>
      <c r="AD184" s="513">
        <v>5100</v>
      </c>
      <c r="AE184" s="508"/>
      <c r="AF184" s="508"/>
      <c r="AG184" s="508"/>
      <c r="AH184" s="508"/>
    </row>
    <row r="185" spans="1:34" ht="31.5">
      <c r="A185" s="582"/>
      <c r="B185" s="607"/>
      <c r="C185" s="167"/>
      <c r="D185" s="14" t="s">
        <v>1095</v>
      </c>
      <c r="E185" s="142"/>
      <c r="F185" s="143"/>
      <c r="G185" s="142"/>
      <c r="H185" s="417">
        <v>3132</v>
      </c>
      <c r="I185" s="144">
        <v>230000</v>
      </c>
      <c r="J185" s="144"/>
      <c r="K185" s="144"/>
      <c r="L185" s="49"/>
      <c r="M185" s="49">
        <v>230000</v>
      </c>
      <c r="N185" s="407"/>
      <c r="O185" s="407"/>
      <c r="P185" s="407"/>
      <c r="Q185" s="407"/>
      <c r="R185" s="407"/>
      <c r="S185" s="407"/>
      <c r="T185" s="407"/>
      <c r="U185" s="407">
        <f>69000+161000</f>
        <v>230000</v>
      </c>
      <c r="V185" s="407"/>
      <c r="W185" s="407"/>
      <c r="X185" s="407">
        <f>161000-161000</f>
        <v>0</v>
      </c>
      <c r="Y185" s="407"/>
      <c r="Z185" s="407">
        <v>227979.79</v>
      </c>
      <c r="AA185" s="407">
        <f t="shared" si="21"/>
        <v>2020.21</v>
      </c>
      <c r="AC185" s="499"/>
      <c r="AD185" s="513">
        <v>230000</v>
      </c>
      <c r="AE185" s="508"/>
      <c r="AF185" s="507" t="s">
        <v>510</v>
      </c>
      <c r="AG185" s="507" t="s">
        <v>504</v>
      </c>
      <c r="AH185" s="508"/>
    </row>
    <row r="186" spans="1:34" ht="31.5">
      <c r="A186" s="582"/>
      <c r="B186" s="607"/>
      <c r="C186" s="167"/>
      <c r="D186" s="14" t="s">
        <v>340</v>
      </c>
      <c r="E186" s="142"/>
      <c r="F186" s="143"/>
      <c r="G186" s="142"/>
      <c r="H186" s="417">
        <v>3132</v>
      </c>
      <c r="I186" s="144">
        <v>230000</v>
      </c>
      <c r="J186" s="144"/>
      <c r="K186" s="144"/>
      <c r="L186" s="49"/>
      <c r="M186" s="49">
        <v>230000</v>
      </c>
      <c r="N186" s="407"/>
      <c r="O186" s="407"/>
      <c r="P186" s="407"/>
      <c r="Q186" s="407"/>
      <c r="R186" s="407"/>
      <c r="S186" s="407"/>
      <c r="T186" s="407"/>
      <c r="U186" s="407">
        <f>69000+161000</f>
        <v>230000</v>
      </c>
      <c r="V186" s="407"/>
      <c r="W186" s="407"/>
      <c r="X186" s="407">
        <f>161000-161000</f>
        <v>0</v>
      </c>
      <c r="Y186" s="407"/>
      <c r="Z186" s="407">
        <v>224073.4</v>
      </c>
      <c r="AA186" s="407">
        <f t="shared" si="21"/>
        <v>5926.6</v>
      </c>
      <c r="AC186" s="499"/>
      <c r="AD186" s="513">
        <v>230000</v>
      </c>
      <c r="AE186" s="508"/>
      <c r="AF186" s="507" t="s">
        <v>510</v>
      </c>
      <c r="AG186" s="507" t="s">
        <v>504</v>
      </c>
      <c r="AH186" s="508"/>
    </row>
    <row r="187" spans="1:34" ht="15.75">
      <c r="A187" s="582"/>
      <c r="B187" s="607"/>
      <c r="C187" s="167"/>
      <c r="D187" s="13" t="s">
        <v>341</v>
      </c>
      <c r="E187" s="142"/>
      <c r="F187" s="143"/>
      <c r="G187" s="142"/>
      <c r="H187" s="417"/>
      <c r="I187" s="391">
        <f>SUM(I188:I198)</f>
        <v>124000</v>
      </c>
      <c r="J187" s="391">
        <f aca="true" t="shared" si="24" ref="J187:Z187">SUM(J188:J198)</f>
        <v>0</v>
      </c>
      <c r="K187" s="391">
        <f t="shared" si="24"/>
        <v>0</v>
      </c>
      <c r="L187" s="391">
        <f t="shared" si="24"/>
        <v>0</v>
      </c>
      <c r="M187" s="391">
        <f t="shared" si="24"/>
        <v>124000</v>
      </c>
      <c r="N187" s="391">
        <f t="shared" si="24"/>
        <v>0</v>
      </c>
      <c r="O187" s="391">
        <f t="shared" si="24"/>
        <v>0</v>
      </c>
      <c r="P187" s="391">
        <f t="shared" si="24"/>
        <v>0</v>
      </c>
      <c r="Q187" s="391">
        <f t="shared" si="24"/>
        <v>0</v>
      </c>
      <c r="R187" s="391">
        <f t="shared" si="24"/>
        <v>9900</v>
      </c>
      <c r="S187" s="391">
        <f t="shared" si="24"/>
        <v>50100</v>
      </c>
      <c r="T187" s="391">
        <f t="shared" si="24"/>
        <v>64000</v>
      </c>
      <c r="U187" s="391">
        <f t="shared" si="24"/>
        <v>0</v>
      </c>
      <c r="V187" s="391">
        <f t="shared" si="24"/>
        <v>0</v>
      </c>
      <c r="W187" s="391">
        <f t="shared" si="24"/>
        <v>0</v>
      </c>
      <c r="X187" s="391">
        <f t="shared" si="24"/>
        <v>0</v>
      </c>
      <c r="Y187" s="391">
        <f t="shared" si="24"/>
        <v>0</v>
      </c>
      <c r="Z187" s="391">
        <f t="shared" si="24"/>
        <v>9860.31</v>
      </c>
      <c r="AA187" s="407">
        <f t="shared" si="21"/>
        <v>114139.69</v>
      </c>
      <c r="AC187" s="499"/>
      <c r="AD187" s="513"/>
      <c r="AE187" s="508"/>
      <c r="AF187" s="508"/>
      <c r="AG187" s="508"/>
      <c r="AH187" s="508"/>
    </row>
    <row r="188" spans="1:34" s="64" customFormat="1" ht="15.75">
      <c r="A188" s="582"/>
      <c r="B188" s="607"/>
      <c r="C188" s="244"/>
      <c r="D188" s="346" t="s">
        <v>342</v>
      </c>
      <c r="E188" s="199"/>
      <c r="F188" s="200"/>
      <c r="G188" s="199"/>
      <c r="H188" s="417">
        <v>3132</v>
      </c>
      <c r="I188" s="201">
        <v>18000</v>
      </c>
      <c r="J188" s="201"/>
      <c r="K188" s="201"/>
      <c r="L188" s="51"/>
      <c r="M188" s="51">
        <v>18000</v>
      </c>
      <c r="N188" s="465"/>
      <c r="O188" s="465"/>
      <c r="P188" s="465"/>
      <c r="Q188" s="465"/>
      <c r="R188" s="465">
        <v>900</v>
      </c>
      <c r="S188" s="465">
        <v>6100</v>
      </c>
      <c r="T188" s="465">
        <v>11000</v>
      </c>
      <c r="U188" s="465"/>
      <c r="V188" s="465"/>
      <c r="W188" s="465"/>
      <c r="X188" s="465"/>
      <c r="Y188" s="465"/>
      <c r="Z188" s="465">
        <v>2245.59</v>
      </c>
      <c r="AA188" s="407">
        <f t="shared" si="21"/>
        <v>15754.41</v>
      </c>
      <c r="AC188" s="500"/>
      <c r="AD188" s="516">
        <v>18000</v>
      </c>
      <c r="AE188" s="510"/>
      <c r="AF188" s="510" t="s">
        <v>438</v>
      </c>
      <c r="AG188" s="510" t="s">
        <v>495</v>
      </c>
      <c r="AH188" s="510"/>
    </row>
    <row r="189" spans="1:34" s="64" customFormat="1" ht="15.75">
      <c r="A189" s="582"/>
      <c r="B189" s="607"/>
      <c r="C189" s="244"/>
      <c r="D189" s="346" t="s">
        <v>343</v>
      </c>
      <c r="E189" s="199"/>
      <c r="F189" s="200"/>
      <c r="G189" s="199"/>
      <c r="H189" s="417">
        <v>3132</v>
      </c>
      <c r="I189" s="201">
        <v>6000</v>
      </c>
      <c r="J189" s="201"/>
      <c r="K189" s="201"/>
      <c r="L189" s="51"/>
      <c r="M189" s="51">
        <v>6000</v>
      </c>
      <c r="N189" s="465"/>
      <c r="O189" s="465"/>
      <c r="P189" s="465"/>
      <c r="Q189" s="465"/>
      <c r="R189" s="465">
        <v>900</v>
      </c>
      <c r="S189" s="465">
        <v>3100</v>
      </c>
      <c r="T189" s="465">
        <v>2000</v>
      </c>
      <c r="U189" s="465"/>
      <c r="V189" s="465"/>
      <c r="W189" s="465"/>
      <c r="X189" s="465"/>
      <c r="Y189" s="465"/>
      <c r="Z189" s="465">
        <v>2245.59</v>
      </c>
      <c r="AA189" s="407">
        <f t="shared" si="21"/>
        <v>3754.41</v>
      </c>
      <c r="AC189" s="500"/>
      <c r="AD189" s="516">
        <v>6000</v>
      </c>
      <c r="AE189" s="510"/>
      <c r="AF189" s="510" t="s">
        <v>439</v>
      </c>
      <c r="AG189" s="510" t="s">
        <v>495</v>
      </c>
      <c r="AH189" s="510"/>
    </row>
    <row r="190" spans="1:34" s="64" customFormat="1" ht="15.75">
      <c r="A190" s="582"/>
      <c r="B190" s="607"/>
      <c r="C190" s="244"/>
      <c r="D190" s="346" t="s">
        <v>344</v>
      </c>
      <c r="E190" s="199"/>
      <c r="F190" s="200"/>
      <c r="G190" s="199"/>
      <c r="H190" s="417">
        <v>3132</v>
      </c>
      <c r="I190" s="201">
        <v>28000</v>
      </c>
      <c r="J190" s="201"/>
      <c r="K190" s="201"/>
      <c r="L190" s="51"/>
      <c r="M190" s="51">
        <v>28000</v>
      </c>
      <c r="N190" s="465"/>
      <c r="O190" s="465"/>
      <c r="P190" s="465"/>
      <c r="Q190" s="465"/>
      <c r="R190" s="465">
        <v>900</v>
      </c>
      <c r="S190" s="465">
        <v>9600</v>
      </c>
      <c r="T190" s="465">
        <v>17500</v>
      </c>
      <c r="U190" s="465"/>
      <c r="V190" s="465"/>
      <c r="W190" s="465"/>
      <c r="X190" s="465"/>
      <c r="Y190" s="465"/>
      <c r="Z190" s="465">
        <v>596.57</v>
      </c>
      <c r="AA190" s="407">
        <f t="shared" si="21"/>
        <v>27403.43</v>
      </c>
      <c r="AC190" s="500"/>
      <c r="AD190" s="516">
        <v>28000</v>
      </c>
      <c r="AE190" s="510"/>
      <c r="AF190" s="510" t="s">
        <v>440</v>
      </c>
      <c r="AG190" s="510" t="s">
        <v>495</v>
      </c>
      <c r="AH190" s="510"/>
    </row>
    <row r="191" spans="1:34" s="64" customFormat="1" ht="15.75">
      <c r="A191" s="582"/>
      <c r="B191" s="607"/>
      <c r="C191" s="244"/>
      <c r="D191" s="346" t="s">
        <v>1762</v>
      </c>
      <c r="E191" s="199"/>
      <c r="F191" s="200"/>
      <c r="G191" s="199"/>
      <c r="H191" s="417">
        <v>3132</v>
      </c>
      <c r="I191" s="201">
        <v>8000</v>
      </c>
      <c r="J191" s="201"/>
      <c r="K191" s="201"/>
      <c r="L191" s="51"/>
      <c r="M191" s="51">
        <v>8000</v>
      </c>
      <c r="N191" s="465"/>
      <c r="O191" s="465"/>
      <c r="P191" s="465"/>
      <c r="Q191" s="465"/>
      <c r="R191" s="465">
        <v>900</v>
      </c>
      <c r="S191" s="465">
        <v>3600</v>
      </c>
      <c r="T191" s="465">
        <v>3500</v>
      </c>
      <c r="U191" s="465"/>
      <c r="V191" s="465"/>
      <c r="W191" s="465"/>
      <c r="X191" s="465"/>
      <c r="Y191" s="465"/>
      <c r="Z191" s="465">
        <v>596.57</v>
      </c>
      <c r="AA191" s="407">
        <f t="shared" si="21"/>
        <v>7403.43</v>
      </c>
      <c r="AC191" s="500"/>
      <c r="AD191" s="516">
        <v>8000</v>
      </c>
      <c r="AE191" s="510"/>
      <c r="AF191" s="510" t="s">
        <v>441</v>
      </c>
      <c r="AG191" s="510" t="s">
        <v>495</v>
      </c>
      <c r="AH191" s="510"/>
    </row>
    <row r="192" spans="1:34" s="64" customFormat="1" ht="15.75">
      <c r="A192" s="582"/>
      <c r="B192" s="607"/>
      <c r="C192" s="244"/>
      <c r="D192" s="346" t="s">
        <v>996</v>
      </c>
      <c r="E192" s="199"/>
      <c r="F192" s="200"/>
      <c r="G192" s="199"/>
      <c r="H192" s="417">
        <v>3132</v>
      </c>
      <c r="I192" s="201">
        <v>6000</v>
      </c>
      <c r="J192" s="201"/>
      <c r="K192" s="201"/>
      <c r="L192" s="51"/>
      <c r="M192" s="51">
        <v>6000</v>
      </c>
      <c r="N192" s="465"/>
      <c r="O192" s="465"/>
      <c r="P192" s="465"/>
      <c r="Q192" s="465"/>
      <c r="R192" s="465">
        <v>900</v>
      </c>
      <c r="S192" s="465">
        <v>3100</v>
      </c>
      <c r="T192" s="465">
        <v>2000</v>
      </c>
      <c r="U192" s="465"/>
      <c r="V192" s="465"/>
      <c r="W192" s="465"/>
      <c r="X192" s="465"/>
      <c r="Y192" s="465"/>
      <c r="Z192" s="465">
        <v>596.57</v>
      </c>
      <c r="AA192" s="407">
        <f t="shared" si="21"/>
        <v>5403.43</v>
      </c>
      <c r="AC192" s="500"/>
      <c r="AD192" s="516">
        <v>6000</v>
      </c>
      <c r="AE192" s="510"/>
      <c r="AF192" s="510" t="s">
        <v>442</v>
      </c>
      <c r="AG192" s="510" t="s">
        <v>495</v>
      </c>
      <c r="AH192" s="510"/>
    </row>
    <row r="193" spans="1:34" s="64" customFormat="1" ht="15.75">
      <c r="A193" s="582"/>
      <c r="B193" s="607"/>
      <c r="C193" s="244"/>
      <c r="D193" s="346" t="s">
        <v>345</v>
      </c>
      <c r="E193" s="199"/>
      <c r="F193" s="200"/>
      <c r="G193" s="199"/>
      <c r="H193" s="417">
        <v>3132</v>
      </c>
      <c r="I193" s="201">
        <v>13000</v>
      </c>
      <c r="J193" s="201"/>
      <c r="K193" s="201"/>
      <c r="L193" s="51"/>
      <c r="M193" s="51">
        <v>13000</v>
      </c>
      <c r="N193" s="465"/>
      <c r="O193" s="465"/>
      <c r="P193" s="465"/>
      <c r="Q193" s="465"/>
      <c r="R193" s="465">
        <v>900</v>
      </c>
      <c r="S193" s="465">
        <v>5100</v>
      </c>
      <c r="T193" s="465">
        <v>7000</v>
      </c>
      <c r="U193" s="465"/>
      <c r="V193" s="465"/>
      <c r="W193" s="465"/>
      <c r="X193" s="465"/>
      <c r="Y193" s="465"/>
      <c r="Z193" s="465">
        <v>596.57</v>
      </c>
      <c r="AA193" s="407">
        <f t="shared" si="21"/>
        <v>12403.43</v>
      </c>
      <c r="AC193" s="500"/>
      <c r="AD193" s="516">
        <v>13000</v>
      </c>
      <c r="AE193" s="510"/>
      <c r="AF193" s="510" t="s">
        <v>443</v>
      </c>
      <c r="AG193" s="510" t="s">
        <v>495</v>
      </c>
      <c r="AH193" s="510"/>
    </row>
    <row r="194" spans="1:34" s="64" customFormat="1" ht="15.75">
      <c r="A194" s="582"/>
      <c r="B194" s="607"/>
      <c r="C194" s="244"/>
      <c r="D194" s="346" t="s">
        <v>184</v>
      </c>
      <c r="E194" s="199"/>
      <c r="F194" s="200"/>
      <c r="G194" s="199"/>
      <c r="H194" s="417">
        <v>3132</v>
      </c>
      <c r="I194" s="201">
        <v>8000</v>
      </c>
      <c r="J194" s="201"/>
      <c r="K194" s="201"/>
      <c r="L194" s="51"/>
      <c r="M194" s="51">
        <v>8000</v>
      </c>
      <c r="N194" s="465"/>
      <c r="O194" s="465"/>
      <c r="P194" s="465"/>
      <c r="Q194" s="465"/>
      <c r="R194" s="465">
        <v>900</v>
      </c>
      <c r="S194" s="465">
        <v>3600</v>
      </c>
      <c r="T194" s="465">
        <v>3500</v>
      </c>
      <c r="U194" s="465"/>
      <c r="V194" s="465"/>
      <c r="W194" s="465"/>
      <c r="X194" s="465"/>
      <c r="Y194" s="465"/>
      <c r="Z194" s="465">
        <v>596.57</v>
      </c>
      <c r="AA194" s="407">
        <f t="shared" si="21"/>
        <v>7403.43</v>
      </c>
      <c r="AC194" s="500"/>
      <c r="AD194" s="516">
        <v>8000</v>
      </c>
      <c r="AE194" s="510"/>
      <c r="AF194" s="510" t="s">
        <v>444</v>
      </c>
      <c r="AG194" s="510" t="s">
        <v>495</v>
      </c>
      <c r="AH194" s="510"/>
    </row>
    <row r="195" spans="1:34" s="64" customFormat="1" ht="15.75">
      <c r="A195" s="582"/>
      <c r="B195" s="607"/>
      <c r="C195" s="244"/>
      <c r="D195" s="346" t="s">
        <v>1213</v>
      </c>
      <c r="E195" s="199"/>
      <c r="F195" s="200"/>
      <c r="G195" s="199"/>
      <c r="H195" s="417">
        <v>3132</v>
      </c>
      <c r="I195" s="201">
        <v>13000</v>
      </c>
      <c r="J195" s="201"/>
      <c r="K195" s="201"/>
      <c r="L195" s="51"/>
      <c r="M195" s="51">
        <v>13000</v>
      </c>
      <c r="N195" s="465"/>
      <c r="O195" s="465"/>
      <c r="P195" s="465"/>
      <c r="Q195" s="465"/>
      <c r="R195" s="465">
        <v>900</v>
      </c>
      <c r="S195" s="465">
        <v>5100</v>
      </c>
      <c r="T195" s="465">
        <v>7000</v>
      </c>
      <c r="U195" s="465"/>
      <c r="V195" s="465"/>
      <c r="W195" s="465"/>
      <c r="X195" s="465"/>
      <c r="Y195" s="465"/>
      <c r="Z195" s="465">
        <v>596.57</v>
      </c>
      <c r="AA195" s="407">
        <f t="shared" si="21"/>
        <v>12403.43</v>
      </c>
      <c r="AC195" s="500"/>
      <c r="AD195" s="516">
        <v>13000</v>
      </c>
      <c r="AE195" s="510"/>
      <c r="AF195" s="510" t="s">
        <v>445</v>
      </c>
      <c r="AG195" s="510" t="s">
        <v>495</v>
      </c>
      <c r="AH195" s="510"/>
    </row>
    <row r="196" spans="1:34" s="64" customFormat="1" ht="15.75">
      <c r="A196" s="582"/>
      <c r="B196" s="607"/>
      <c r="C196" s="244"/>
      <c r="D196" s="346" t="s">
        <v>992</v>
      </c>
      <c r="E196" s="199"/>
      <c r="F196" s="200"/>
      <c r="G196" s="199"/>
      <c r="H196" s="417">
        <v>3132</v>
      </c>
      <c r="I196" s="201">
        <v>8000</v>
      </c>
      <c r="J196" s="201"/>
      <c r="K196" s="201"/>
      <c r="L196" s="51"/>
      <c r="M196" s="51">
        <v>8000</v>
      </c>
      <c r="N196" s="465"/>
      <c r="O196" s="465"/>
      <c r="P196" s="465"/>
      <c r="Q196" s="465"/>
      <c r="R196" s="465">
        <v>900</v>
      </c>
      <c r="S196" s="465">
        <v>3600</v>
      </c>
      <c r="T196" s="465">
        <v>3500</v>
      </c>
      <c r="U196" s="465"/>
      <c r="V196" s="465"/>
      <c r="W196" s="465"/>
      <c r="X196" s="465"/>
      <c r="Y196" s="465"/>
      <c r="Z196" s="465">
        <v>596.57</v>
      </c>
      <c r="AA196" s="407">
        <f t="shared" si="21"/>
        <v>7403.43</v>
      </c>
      <c r="AC196" s="500"/>
      <c r="AD196" s="516">
        <v>8000</v>
      </c>
      <c r="AE196" s="510"/>
      <c r="AF196" s="510" t="s">
        <v>446</v>
      </c>
      <c r="AG196" s="510" t="s">
        <v>495</v>
      </c>
      <c r="AH196" s="510"/>
    </row>
    <row r="197" spans="1:34" s="64" customFormat="1" ht="15.75">
      <c r="A197" s="582"/>
      <c r="B197" s="607"/>
      <c r="C197" s="244"/>
      <c r="D197" s="346" t="s">
        <v>1214</v>
      </c>
      <c r="E197" s="199"/>
      <c r="F197" s="200"/>
      <c r="G197" s="199"/>
      <c r="H197" s="417">
        <v>3132</v>
      </c>
      <c r="I197" s="201">
        <v>8000</v>
      </c>
      <c r="J197" s="201"/>
      <c r="K197" s="201"/>
      <c r="L197" s="51"/>
      <c r="M197" s="51">
        <v>8000</v>
      </c>
      <c r="N197" s="465"/>
      <c r="O197" s="465"/>
      <c r="P197" s="465"/>
      <c r="Q197" s="465"/>
      <c r="R197" s="465">
        <v>900</v>
      </c>
      <c r="S197" s="465">
        <v>3600</v>
      </c>
      <c r="T197" s="465">
        <v>3500</v>
      </c>
      <c r="U197" s="465"/>
      <c r="V197" s="465"/>
      <c r="W197" s="465"/>
      <c r="X197" s="465"/>
      <c r="Y197" s="465"/>
      <c r="Z197" s="465">
        <v>596.57</v>
      </c>
      <c r="AA197" s="407">
        <f t="shared" si="21"/>
        <v>7403.43</v>
      </c>
      <c r="AC197" s="500"/>
      <c r="AD197" s="516">
        <v>8000</v>
      </c>
      <c r="AE197" s="510"/>
      <c r="AF197" s="510" t="s">
        <v>447</v>
      </c>
      <c r="AG197" s="510" t="s">
        <v>495</v>
      </c>
      <c r="AH197" s="510"/>
    </row>
    <row r="198" spans="1:34" s="64" customFormat="1" ht="15.75">
      <c r="A198" s="582"/>
      <c r="B198" s="607"/>
      <c r="C198" s="244"/>
      <c r="D198" s="346" t="s">
        <v>1215</v>
      </c>
      <c r="E198" s="199"/>
      <c r="F198" s="200"/>
      <c r="G198" s="199"/>
      <c r="H198" s="417">
        <v>3132</v>
      </c>
      <c r="I198" s="201">
        <v>8000</v>
      </c>
      <c r="J198" s="201"/>
      <c r="K198" s="201"/>
      <c r="L198" s="51"/>
      <c r="M198" s="51">
        <v>8000</v>
      </c>
      <c r="N198" s="465"/>
      <c r="O198" s="465"/>
      <c r="P198" s="465"/>
      <c r="Q198" s="465"/>
      <c r="R198" s="465">
        <v>900</v>
      </c>
      <c r="S198" s="465">
        <v>3600</v>
      </c>
      <c r="T198" s="465">
        <v>3500</v>
      </c>
      <c r="U198" s="465"/>
      <c r="V198" s="465"/>
      <c r="W198" s="465"/>
      <c r="X198" s="465"/>
      <c r="Y198" s="465"/>
      <c r="Z198" s="465">
        <v>596.57</v>
      </c>
      <c r="AA198" s="407">
        <f t="shared" si="21"/>
        <v>7403.43</v>
      </c>
      <c r="AC198" s="500"/>
      <c r="AD198" s="516">
        <v>8000</v>
      </c>
      <c r="AE198" s="510"/>
      <c r="AF198" s="510" t="s">
        <v>448</v>
      </c>
      <c r="AG198" s="510" t="s">
        <v>495</v>
      </c>
      <c r="AH198" s="510"/>
    </row>
    <row r="199" spans="1:34" s="40" customFormat="1" ht="31.5">
      <c r="A199" s="582"/>
      <c r="B199" s="607"/>
      <c r="C199" s="167"/>
      <c r="D199" s="13" t="s">
        <v>1836</v>
      </c>
      <c r="E199" s="142"/>
      <c r="F199" s="143"/>
      <c r="G199" s="142"/>
      <c r="H199" s="417">
        <v>3132</v>
      </c>
      <c r="I199" s="144">
        <v>575770</v>
      </c>
      <c r="J199" s="144"/>
      <c r="K199" s="144"/>
      <c r="L199" s="49"/>
      <c r="M199" s="49"/>
      <c r="N199" s="407"/>
      <c r="O199" s="407"/>
      <c r="P199" s="407"/>
      <c r="Q199" s="407"/>
      <c r="R199" s="407">
        <v>575770</v>
      </c>
      <c r="S199" s="407"/>
      <c r="T199" s="407"/>
      <c r="U199" s="407"/>
      <c r="V199" s="407"/>
      <c r="W199" s="407"/>
      <c r="X199" s="407"/>
      <c r="Y199" s="407"/>
      <c r="Z199" s="407">
        <f>55995+96182+56007+94485.6+4853+150</f>
        <v>307672.6</v>
      </c>
      <c r="AA199" s="407">
        <f t="shared" si="21"/>
        <v>268097.4</v>
      </c>
      <c r="AC199" s="498"/>
      <c r="AD199" s="512">
        <v>575770</v>
      </c>
      <c r="AE199" s="507"/>
      <c r="AF199" s="507" t="s">
        <v>449</v>
      </c>
      <c r="AG199" s="507" t="s">
        <v>450</v>
      </c>
      <c r="AH199" s="507"/>
    </row>
    <row r="200" spans="1:34" s="40" customFormat="1" ht="15.75">
      <c r="A200" s="582"/>
      <c r="B200" s="607"/>
      <c r="C200" s="167"/>
      <c r="D200" s="13" t="s">
        <v>791</v>
      </c>
      <c r="E200" s="142"/>
      <c r="F200" s="143"/>
      <c r="G200" s="142"/>
      <c r="H200" s="417">
        <v>3132</v>
      </c>
      <c r="I200" s="144">
        <v>100000</v>
      </c>
      <c r="J200" s="144"/>
      <c r="K200" s="144"/>
      <c r="L200" s="49"/>
      <c r="M200" s="49"/>
      <c r="N200" s="407"/>
      <c r="O200" s="407"/>
      <c r="P200" s="407"/>
      <c r="Q200" s="407"/>
      <c r="R200" s="407"/>
      <c r="S200" s="407"/>
      <c r="T200" s="407"/>
      <c r="U200" s="407"/>
      <c r="V200" s="407"/>
      <c r="W200" s="407">
        <v>100000</v>
      </c>
      <c r="X200" s="407"/>
      <c r="Y200" s="407"/>
      <c r="Z200" s="407"/>
      <c r="AA200" s="407">
        <f t="shared" si="21"/>
        <v>100000</v>
      </c>
      <c r="AC200" s="498"/>
      <c r="AD200" s="512"/>
      <c r="AE200" s="507"/>
      <c r="AF200" s="507"/>
      <c r="AG200" s="507" t="s">
        <v>2097</v>
      </c>
      <c r="AH200" s="507"/>
    </row>
    <row r="201" spans="1:34" s="45" customFormat="1" ht="15.75">
      <c r="A201" s="582"/>
      <c r="B201" s="607"/>
      <c r="C201" s="167"/>
      <c r="D201" s="361" t="s">
        <v>1707</v>
      </c>
      <c r="E201" s="142"/>
      <c r="F201" s="143"/>
      <c r="G201" s="142"/>
      <c r="H201" s="417">
        <v>3132</v>
      </c>
      <c r="I201" s="144">
        <v>66000</v>
      </c>
      <c r="J201" s="144"/>
      <c r="K201" s="144"/>
      <c r="L201" s="49"/>
      <c r="M201" s="49">
        <v>66000</v>
      </c>
      <c r="N201" s="407"/>
      <c r="O201" s="407"/>
      <c r="P201" s="407"/>
      <c r="Q201" s="407"/>
      <c r="R201" s="407"/>
      <c r="S201" s="407">
        <v>7000</v>
      </c>
      <c r="T201" s="407"/>
      <c r="U201" s="407">
        <v>25000</v>
      </c>
      <c r="V201" s="407"/>
      <c r="W201" s="407"/>
      <c r="X201" s="407">
        <f>41000-7000</f>
        <v>34000</v>
      </c>
      <c r="Y201" s="407"/>
      <c r="Z201" s="407">
        <v>22843.78</v>
      </c>
      <c r="AA201" s="407">
        <f t="shared" si="21"/>
        <v>43156.22</v>
      </c>
      <c r="AC201" s="499"/>
      <c r="AD201" s="513">
        <v>66000</v>
      </c>
      <c r="AE201" s="508"/>
      <c r="AF201" s="507" t="s">
        <v>451</v>
      </c>
      <c r="AG201" s="507" t="s">
        <v>450</v>
      </c>
      <c r="AH201" s="508"/>
    </row>
    <row r="202" spans="1:62" s="54" customFormat="1" ht="17.25" customHeight="1">
      <c r="A202" s="585" t="s">
        <v>105</v>
      </c>
      <c r="B202" s="586" t="s">
        <v>234</v>
      </c>
      <c r="C202" s="195"/>
      <c r="D202" s="136" t="s">
        <v>235</v>
      </c>
      <c r="E202" s="137"/>
      <c r="F202" s="159"/>
      <c r="G202" s="137"/>
      <c r="H202" s="416"/>
      <c r="I202" s="139">
        <f>I205+I220+I221+I222+I226+I228+I234+I236+I237+I238+I240+I242+I247+I249+I250+I251+I284+I285+I286+I287+I288+I291+I307+I310+I311+I312+I319+I324+I325+I326+I327+I328+I329+I335+I336+I337+I339+I340+I341+I346+I348+I349+I350+I357+I358+I359+I363+I364+I347+I292+I309+I308+I338</f>
        <v>14139363.23</v>
      </c>
      <c r="J202" s="139">
        <f aca="true" t="shared" si="25" ref="J202:Y202">J205+J220+J221+J222+J226+J228+J234+J236+J237+J238+J240+J242+J247+J249+J250+J251+J284+J285+J286+J287+J288+J291+J307+J310+J311+J312+J319+J324+J325+J326+J327+J328+J329+J335+J336+J337+J339+J340+J341+J346+J348+J349+J350+J357+J358+J359+J363+J364+J347+J292+J309+J308+J338</f>
        <v>0</v>
      </c>
      <c r="K202" s="139">
        <f t="shared" si="25"/>
        <v>0</v>
      </c>
      <c r="L202" s="139">
        <f t="shared" si="25"/>
        <v>1013012.19</v>
      </c>
      <c r="M202" s="139">
        <f t="shared" si="25"/>
        <v>10857340.04</v>
      </c>
      <c r="N202" s="139">
        <f t="shared" si="25"/>
        <v>0</v>
      </c>
      <c r="O202" s="139">
        <f t="shared" si="25"/>
        <v>1013012.19</v>
      </c>
      <c r="P202" s="139">
        <f t="shared" si="25"/>
        <v>0</v>
      </c>
      <c r="Q202" s="139">
        <f t="shared" si="25"/>
        <v>0</v>
      </c>
      <c r="R202" s="139">
        <f t="shared" si="25"/>
        <v>642900</v>
      </c>
      <c r="S202" s="139">
        <f t="shared" si="25"/>
        <v>1470726</v>
      </c>
      <c r="T202" s="139">
        <f t="shared" si="25"/>
        <v>2029367.4</v>
      </c>
      <c r="U202" s="139">
        <f t="shared" si="25"/>
        <v>4754526.02</v>
      </c>
      <c r="V202" s="139">
        <f t="shared" si="25"/>
        <v>1369778.5</v>
      </c>
      <c r="W202" s="139">
        <f t="shared" si="25"/>
        <v>1303810.12</v>
      </c>
      <c r="X202" s="139">
        <f t="shared" si="25"/>
        <v>869300</v>
      </c>
      <c r="Y202" s="139">
        <f t="shared" si="25"/>
        <v>685943</v>
      </c>
      <c r="Z202" s="139">
        <f>Z205+Z220+Z221+Z222+Z226+Z228+Z234+Z236+Z237+Z238+Z240+Z242+Z247+Z249+Z250+Z251+Z284+Z285+Z286+Z287+Z288+Z291+Z307+Z310+Z311+Z312+Z319+Z324+Z325+Z326+Z327+Z328+Z329+Z335+Z336+Z337+Z339+Z340+Z341+Z346+Z348+Z349+Z350+Z357+Z358+Z359+Z363+Z364+Z347+Z292+Z309+Z308+Z338</f>
        <v>3440575.69</v>
      </c>
      <c r="AA202" s="407">
        <f t="shared" si="21"/>
        <v>10012844.54</v>
      </c>
      <c r="AB202" s="45"/>
      <c r="AC202" s="499"/>
      <c r="AD202" s="513"/>
      <c r="AE202" s="508"/>
      <c r="AF202" s="508"/>
      <c r="AG202" s="508"/>
      <c r="AH202" s="508"/>
      <c r="AI202" s="45"/>
      <c r="AJ202" s="45"/>
      <c r="AK202" s="45"/>
      <c r="AL202" s="45"/>
      <c r="AM202" s="45"/>
      <c r="AN202" s="45"/>
      <c r="AO202" s="45"/>
      <c r="AP202" s="45"/>
      <c r="AQ202" s="45"/>
      <c r="AR202" s="45"/>
      <c r="AS202" s="45"/>
      <c r="AT202" s="45"/>
      <c r="AU202" s="45"/>
      <c r="AV202" s="45"/>
      <c r="AW202" s="45"/>
      <c r="AX202" s="45"/>
      <c r="AY202" s="45"/>
      <c r="AZ202" s="45"/>
      <c r="BA202" s="45"/>
      <c r="BB202" s="45"/>
      <c r="BC202" s="45"/>
      <c r="BD202" s="45"/>
      <c r="BE202" s="45"/>
      <c r="BF202" s="45"/>
      <c r="BG202" s="45"/>
      <c r="BH202" s="45"/>
      <c r="BI202" s="45"/>
      <c r="BJ202" s="45"/>
    </row>
    <row r="203" spans="1:34" ht="15.75" customHeight="1" hidden="1">
      <c r="A203" s="585"/>
      <c r="B203" s="586"/>
      <c r="C203" s="212" t="s">
        <v>1153</v>
      </c>
      <c r="D203" s="141" t="s">
        <v>236</v>
      </c>
      <c r="E203" s="142">
        <v>60</v>
      </c>
      <c r="F203" s="143">
        <f>100%-((E203-G203)/E203)</f>
        <v>1</v>
      </c>
      <c r="G203" s="142">
        <v>60</v>
      </c>
      <c r="H203" s="417"/>
      <c r="I203" s="144" t="e">
        <f>J203+K203+L203+M203+#REF!+#REF!</f>
        <v>#REF!</v>
      </c>
      <c r="J203" s="144"/>
      <c r="K203" s="144">
        <f>SUM(K219:K236)</f>
        <v>0</v>
      </c>
      <c r="L203" s="144"/>
      <c r="M203" s="144"/>
      <c r="N203" s="407"/>
      <c r="O203" s="407"/>
      <c r="P203" s="407"/>
      <c r="Q203" s="407"/>
      <c r="R203" s="407"/>
      <c r="S203" s="407"/>
      <c r="T203" s="407"/>
      <c r="U203" s="407"/>
      <c r="V203" s="407"/>
      <c r="W203" s="407"/>
      <c r="X203" s="407"/>
      <c r="Y203" s="407"/>
      <c r="Z203" s="407"/>
      <c r="AA203" s="407">
        <f t="shared" si="21"/>
        <v>0</v>
      </c>
      <c r="AC203" s="499"/>
      <c r="AD203" s="513"/>
      <c r="AE203" s="508"/>
      <c r="AF203" s="508"/>
      <c r="AG203" s="508"/>
      <c r="AH203" s="508"/>
    </row>
    <row r="204" spans="1:34" ht="63" customHeight="1" hidden="1">
      <c r="A204" s="585"/>
      <c r="B204" s="586"/>
      <c r="C204" s="212" t="s">
        <v>1151</v>
      </c>
      <c r="D204" s="141" t="s">
        <v>152</v>
      </c>
      <c r="E204" s="142"/>
      <c r="F204" s="143"/>
      <c r="G204" s="142"/>
      <c r="H204" s="417"/>
      <c r="I204" s="144" t="e">
        <f>J204+K204+L204+M204+#REF!+#REF!</f>
        <v>#REF!</v>
      </c>
      <c r="J204" s="144"/>
      <c r="K204" s="144"/>
      <c r="L204" s="144"/>
      <c r="M204" s="144"/>
      <c r="N204" s="407"/>
      <c r="O204" s="407"/>
      <c r="P204" s="407"/>
      <c r="Q204" s="407"/>
      <c r="R204" s="407"/>
      <c r="S204" s="407"/>
      <c r="T204" s="407"/>
      <c r="U204" s="407"/>
      <c r="V204" s="407"/>
      <c r="W204" s="407"/>
      <c r="X204" s="407"/>
      <c r="Y204" s="407"/>
      <c r="Z204" s="407"/>
      <c r="AA204" s="407">
        <f t="shared" si="21"/>
        <v>0</v>
      </c>
      <c r="AC204" s="499"/>
      <c r="AD204" s="513"/>
      <c r="AE204" s="508"/>
      <c r="AF204" s="508"/>
      <c r="AG204" s="508"/>
      <c r="AH204" s="508"/>
    </row>
    <row r="205" spans="1:34" ht="15.75">
      <c r="A205" s="585"/>
      <c r="B205" s="586"/>
      <c r="C205" s="617" t="s">
        <v>1164</v>
      </c>
      <c r="D205" s="141" t="s">
        <v>237</v>
      </c>
      <c r="E205" s="142"/>
      <c r="F205" s="143"/>
      <c r="G205" s="142"/>
      <c r="H205" s="417"/>
      <c r="I205" s="144">
        <f>I206+I207+I208+I209+I210+I211+I212+I213</f>
        <v>246520.09</v>
      </c>
      <c r="J205" s="144">
        <f>J206+J207+J208+J209+J210+J211+J212+J213</f>
        <v>0</v>
      </c>
      <c r="K205" s="144">
        <f>K206+K207+K208+K209+K210+K211+K212+K213</f>
        <v>0</v>
      </c>
      <c r="L205" s="144">
        <f>L206+L207+L208+L209+L210+L211+L212+L213</f>
        <v>246520.09</v>
      </c>
      <c r="M205" s="144"/>
      <c r="N205" s="407"/>
      <c r="O205" s="144">
        <f>O206+O207+O208+O209+O210+O211+O212+O213</f>
        <v>246520.09</v>
      </c>
      <c r="P205" s="407"/>
      <c r="Q205" s="407"/>
      <c r="R205" s="407"/>
      <c r="S205" s="407"/>
      <c r="T205" s="407"/>
      <c r="U205" s="407"/>
      <c r="V205" s="407"/>
      <c r="W205" s="407"/>
      <c r="X205" s="407"/>
      <c r="Y205" s="407"/>
      <c r="Z205" s="144">
        <f>Z206+Z207+Z208+Z209+Z210+Z211+Z212+Z213</f>
        <v>246520.09</v>
      </c>
      <c r="AA205" s="407">
        <f t="shared" si="21"/>
        <v>0</v>
      </c>
      <c r="AC205" s="499"/>
      <c r="AD205" s="513"/>
      <c r="AE205" s="508"/>
      <c r="AF205" s="508"/>
      <c r="AG205" s="508"/>
      <c r="AH205" s="508"/>
    </row>
    <row r="206" spans="1:34" ht="21.75" customHeight="1">
      <c r="A206" s="585"/>
      <c r="B206" s="586"/>
      <c r="C206" s="618"/>
      <c r="D206" s="347" t="s">
        <v>238</v>
      </c>
      <c r="E206" s="142">
        <v>150</v>
      </c>
      <c r="F206" s="143">
        <f aca="true" t="shared" si="26" ref="F206:F213">100%-((E206-G206)/E206)</f>
        <v>1</v>
      </c>
      <c r="G206" s="142">
        <v>150</v>
      </c>
      <c r="H206" s="417">
        <v>3132</v>
      </c>
      <c r="I206" s="201">
        <v>2009.75</v>
      </c>
      <c r="J206" s="201"/>
      <c r="K206" s="201"/>
      <c r="L206" s="201">
        <v>2009.75</v>
      </c>
      <c r="M206" s="144"/>
      <c r="N206" s="407"/>
      <c r="O206" s="201">
        <v>2009.75</v>
      </c>
      <c r="P206" s="407"/>
      <c r="Q206" s="407"/>
      <c r="R206" s="407"/>
      <c r="S206" s="407"/>
      <c r="T206" s="407"/>
      <c r="U206" s="407"/>
      <c r="V206" s="407"/>
      <c r="W206" s="407"/>
      <c r="X206" s="407"/>
      <c r="Y206" s="407"/>
      <c r="Z206" s="201">
        <v>2009.75</v>
      </c>
      <c r="AA206" s="407">
        <f t="shared" si="21"/>
        <v>0</v>
      </c>
      <c r="AC206" s="499"/>
      <c r="AD206" s="513">
        <v>2009.75</v>
      </c>
      <c r="AE206" s="508"/>
      <c r="AF206" s="508"/>
      <c r="AG206" s="508"/>
      <c r="AH206" s="508"/>
    </row>
    <row r="207" spans="1:34" ht="21.75" customHeight="1">
      <c r="A207" s="585"/>
      <c r="B207" s="586"/>
      <c r="C207" s="618"/>
      <c r="D207" s="347" t="s">
        <v>1051</v>
      </c>
      <c r="E207" s="142">
        <v>120</v>
      </c>
      <c r="F207" s="143">
        <f t="shared" si="26"/>
        <v>1</v>
      </c>
      <c r="G207" s="142">
        <v>120</v>
      </c>
      <c r="H207" s="417">
        <v>3132</v>
      </c>
      <c r="I207" s="201">
        <v>81132.5</v>
      </c>
      <c r="J207" s="201"/>
      <c r="K207" s="201"/>
      <c r="L207" s="201">
        <v>81132.5</v>
      </c>
      <c r="M207" s="144"/>
      <c r="N207" s="407"/>
      <c r="O207" s="201">
        <v>81132.5</v>
      </c>
      <c r="P207" s="407"/>
      <c r="Q207" s="407"/>
      <c r="R207" s="407"/>
      <c r="S207" s="407"/>
      <c r="T207" s="407"/>
      <c r="U207" s="407"/>
      <c r="V207" s="407"/>
      <c r="W207" s="407"/>
      <c r="X207" s="407"/>
      <c r="Y207" s="407"/>
      <c r="Z207" s="201">
        <v>81132.5</v>
      </c>
      <c r="AA207" s="407">
        <f t="shared" si="21"/>
        <v>0</v>
      </c>
      <c r="AC207" s="499"/>
      <c r="AD207" s="513">
        <v>81132.5</v>
      </c>
      <c r="AE207" s="508"/>
      <c r="AF207" s="508"/>
      <c r="AG207" s="508"/>
      <c r="AH207" s="508"/>
    </row>
    <row r="208" spans="1:34" ht="20.25" customHeight="1">
      <c r="A208" s="585"/>
      <c r="B208" s="586"/>
      <c r="C208" s="618"/>
      <c r="D208" s="347" t="s">
        <v>1052</v>
      </c>
      <c r="E208" s="142">
        <v>150</v>
      </c>
      <c r="F208" s="143">
        <f t="shared" si="26"/>
        <v>1</v>
      </c>
      <c r="G208" s="142">
        <v>150</v>
      </c>
      <c r="H208" s="417">
        <v>3132</v>
      </c>
      <c r="I208" s="201">
        <v>94287.5</v>
      </c>
      <c r="J208" s="201"/>
      <c r="K208" s="201"/>
      <c r="L208" s="201">
        <v>94287.5</v>
      </c>
      <c r="M208" s="144"/>
      <c r="N208" s="407"/>
      <c r="O208" s="201">
        <v>94287.5</v>
      </c>
      <c r="P208" s="407"/>
      <c r="Q208" s="407"/>
      <c r="R208" s="407"/>
      <c r="S208" s="407"/>
      <c r="T208" s="407"/>
      <c r="U208" s="407"/>
      <c r="V208" s="407"/>
      <c r="W208" s="407"/>
      <c r="X208" s="407"/>
      <c r="Y208" s="407"/>
      <c r="Z208" s="201">
        <v>94287.5</v>
      </c>
      <c r="AA208" s="407">
        <f t="shared" si="21"/>
        <v>0</v>
      </c>
      <c r="AC208" s="499"/>
      <c r="AD208" s="513">
        <v>94287.5</v>
      </c>
      <c r="AE208" s="508"/>
      <c r="AF208" s="508"/>
      <c r="AG208" s="508"/>
      <c r="AH208" s="508"/>
    </row>
    <row r="209" spans="1:34" ht="15.75" customHeight="1" hidden="1">
      <c r="A209" s="585"/>
      <c r="B209" s="586"/>
      <c r="C209" s="618"/>
      <c r="D209" s="347" t="s">
        <v>1053</v>
      </c>
      <c r="E209" s="142">
        <v>65</v>
      </c>
      <c r="F209" s="143">
        <f t="shared" si="26"/>
        <v>1</v>
      </c>
      <c r="G209" s="142">
        <v>65</v>
      </c>
      <c r="H209" s="417">
        <v>3132</v>
      </c>
      <c r="I209" s="201">
        <v>0</v>
      </c>
      <c r="J209" s="201"/>
      <c r="K209" s="201"/>
      <c r="L209" s="201"/>
      <c r="M209" s="144"/>
      <c r="N209" s="407"/>
      <c r="O209" s="201">
        <v>0</v>
      </c>
      <c r="P209" s="407"/>
      <c r="Q209" s="407"/>
      <c r="R209" s="407"/>
      <c r="S209" s="407"/>
      <c r="T209" s="407"/>
      <c r="U209" s="407"/>
      <c r="V209" s="407"/>
      <c r="W209" s="407"/>
      <c r="X209" s="407"/>
      <c r="Y209" s="407"/>
      <c r="Z209" s="201">
        <v>0</v>
      </c>
      <c r="AA209" s="407">
        <f t="shared" si="21"/>
        <v>0</v>
      </c>
      <c r="AC209" s="499"/>
      <c r="AD209" s="513"/>
      <c r="AE209" s="508"/>
      <c r="AF209" s="508"/>
      <c r="AG209" s="508"/>
      <c r="AH209" s="508"/>
    </row>
    <row r="210" spans="1:34" ht="15.75">
      <c r="A210" s="585"/>
      <c r="B210" s="586"/>
      <c r="C210" s="618"/>
      <c r="D210" s="347" t="s">
        <v>1054</v>
      </c>
      <c r="E210" s="142">
        <v>264.14</v>
      </c>
      <c r="F210" s="143">
        <f t="shared" si="26"/>
        <v>1</v>
      </c>
      <c r="G210" s="142">
        <v>264.14</v>
      </c>
      <c r="H210" s="417">
        <v>3132</v>
      </c>
      <c r="I210" s="201">
        <v>69090.34</v>
      </c>
      <c r="J210" s="201"/>
      <c r="K210" s="201"/>
      <c r="L210" s="201">
        <v>69090.34</v>
      </c>
      <c r="M210" s="144"/>
      <c r="N210" s="407"/>
      <c r="O210" s="201">
        <v>69090.34</v>
      </c>
      <c r="P210" s="407"/>
      <c r="Q210" s="407"/>
      <c r="R210" s="407"/>
      <c r="S210" s="407"/>
      <c r="T210" s="407"/>
      <c r="U210" s="407"/>
      <c r="V210" s="407"/>
      <c r="W210" s="407"/>
      <c r="X210" s="407"/>
      <c r="Y210" s="407"/>
      <c r="Z210" s="201">
        <v>69090.34</v>
      </c>
      <c r="AA210" s="407">
        <f t="shared" si="21"/>
        <v>0</v>
      </c>
      <c r="AC210" s="499"/>
      <c r="AD210" s="513">
        <v>69090.34</v>
      </c>
      <c r="AE210" s="508"/>
      <c r="AF210" s="508"/>
      <c r="AG210" s="508"/>
      <c r="AH210" s="508"/>
    </row>
    <row r="211" spans="1:34" ht="15.75" customHeight="1" hidden="1">
      <c r="A211" s="585"/>
      <c r="B211" s="586"/>
      <c r="C211" s="618"/>
      <c r="D211" s="198" t="s">
        <v>1055</v>
      </c>
      <c r="E211" s="142">
        <v>1581.38</v>
      </c>
      <c r="F211" s="143">
        <f t="shared" si="26"/>
        <v>1</v>
      </c>
      <c r="G211" s="142">
        <v>1581.38</v>
      </c>
      <c r="H211" s="417">
        <v>3132</v>
      </c>
      <c r="I211" s="201">
        <v>0</v>
      </c>
      <c r="J211" s="201"/>
      <c r="K211" s="201"/>
      <c r="L211" s="201"/>
      <c r="M211" s="144"/>
      <c r="N211" s="407"/>
      <c r="O211" s="201">
        <v>0</v>
      </c>
      <c r="P211" s="407"/>
      <c r="Q211" s="407"/>
      <c r="R211" s="407"/>
      <c r="S211" s="407"/>
      <c r="T211" s="407"/>
      <c r="U211" s="407"/>
      <c r="V211" s="407"/>
      <c r="W211" s="407"/>
      <c r="X211" s="407"/>
      <c r="Y211" s="407"/>
      <c r="Z211" s="201">
        <v>0</v>
      </c>
      <c r="AA211" s="407">
        <f t="shared" si="21"/>
        <v>0</v>
      </c>
      <c r="AC211" s="499"/>
      <c r="AD211" s="513"/>
      <c r="AE211" s="508"/>
      <c r="AF211" s="508"/>
      <c r="AG211" s="508"/>
      <c r="AH211" s="508"/>
    </row>
    <row r="212" spans="1:34" ht="15.75" customHeight="1" hidden="1">
      <c r="A212" s="585"/>
      <c r="B212" s="586"/>
      <c r="C212" s="618"/>
      <c r="D212" s="198" t="s">
        <v>1056</v>
      </c>
      <c r="E212" s="142">
        <v>30</v>
      </c>
      <c r="F212" s="143">
        <f t="shared" si="26"/>
        <v>1</v>
      </c>
      <c r="G212" s="142">
        <v>30</v>
      </c>
      <c r="H212" s="417">
        <v>3132</v>
      </c>
      <c r="I212" s="201">
        <v>0</v>
      </c>
      <c r="J212" s="201"/>
      <c r="K212" s="201"/>
      <c r="L212" s="201"/>
      <c r="M212" s="144"/>
      <c r="N212" s="407"/>
      <c r="O212" s="201">
        <v>0</v>
      </c>
      <c r="P212" s="407"/>
      <c r="Q212" s="407"/>
      <c r="R212" s="407"/>
      <c r="S212" s="407"/>
      <c r="T212" s="407"/>
      <c r="U212" s="407"/>
      <c r="V212" s="407"/>
      <c r="W212" s="407"/>
      <c r="X212" s="407"/>
      <c r="Y212" s="407"/>
      <c r="Z212" s="201">
        <v>0</v>
      </c>
      <c r="AA212" s="407">
        <f t="shared" si="21"/>
        <v>0</v>
      </c>
      <c r="AC212" s="499"/>
      <c r="AD212" s="513"/>
      <c r="AE212" s="508"/>
      <c r="AF212" s="508"/>
      <c r="AG212" s="508"/>
      <c r="AH212" s="508"/>
    </row>
    <row r="213" spans="1:34" ht="15.75" customHeight="1" hidden="1">
      <c r="A213" s="585"/>
      <c r="B213" s="586"/>
      <c r="C213" s="619"/>
      <c r="D213" s="198" t="s">
        <v>1057</v>
      </c>
      <c r="E213" s="142">
        <v>25</v>
      </c>
      <c r="F213" s="143">
        <f t="shared" si="26"/>
        <v>1</v>
      </c>
      <c r="G213" s="142">
        <v>25</v>
      </c>
      <c r="H213" s="417">
        <v>3132</v>
      </c>
      <c r="I213" s="201">
        <v>0</v>
      </c>
      <c r="J213" s="201"/>
      <c r="K213" s="201"/>
      <c r="L213" s="201"/>
      <c r="M213" s="144"/>
      <c r="N213" s="407"/>
      <c r="O213" s="201">
        <v>0</v>
      </c>
      <c r="P213" s="407"/>
      <c r="Q213" s="407"/>
      <c r="R213" s="407"/>
      <c r="S213" s="407"/>
      <c r="T213" s="407"/>
      <c r="U213" s="407"/>
      <c r="V213" s="407"/>
      <c r="W213" s="407"/>
      <c r="X213" s="407"/>
      <c r="Y213" s="407"/>
      <c r="Z213" s="201">
        <v>0</v>
      </c>
      <c r="AA213" s="407">
        <f t="shared" si="21"/>
        <v>0</v>
      </c>
      <c r="AC213" s="499"/>
      <c r="AD213" s="513"/>
      <c r="AE213" s="508"/>
      <c r="AF213" s="508"/>
      <c r="AG213" s="508"/>
      <c r="AH213" s="508"/>
    </row>
    <row r="214" spans="1:34" ht="15.75" customHeight="1" hidden="1">
      <c r="A214" s="585"/>
      <c r="B214" s="586"/>
      <c r="C214" s="617" t="s">
        <v>1058</v>
      </c>
      <c r="D214" s="141" t="s">
        <v>1059</v>
      </c>
      <c r="E214" s="142"/>
      <c r="F214" s="143"/>
      <c r="G214" s="142"/>
      <c r="H214" s="417">
        <v>3132</v>
      </c>
      <c r="I214" s="144">
        <v>0</v>
      </c>
      <c r="J214" s="144">
        <f>SUM(J215:J218)</f>
        <v>0</v>
      </c>
      <c r="K214" s="144">
        <f>SUM(K215:K218)</f>
        <v>0</v>
      </c>
      <c r="L214" s="144">
        <f>SUM(L215:L218)</f>
        <v>0</v>
      </c>
      <c r="M214" s="144">
        <f>SUM(M215:M218)</f>
        <v>0</v>
      </c>
      <c r="N214" s="407"/>
      <c r="O214" s="144">
        <v>0</v>
      </c>
      <c r="P214" s="407"/>
      <c r="Q214" s="407"/>
      <c r="R214" s="407"/>
      <c r="S214" s="407"/>
      <c r="T214" s="407"/>
      <c r="U214" s="407"/>
      <c r="V214" s="407"/>
      <c r="W214" s="407"/>
      <c r="X214" s="407"/>
      <c r="Y214" s="407"/>
      <c r="Z214" s="144">
        <v>0</v>
      </c>
      <c r="AA214" s="407">
        <f t="shared" si="21"/>
        <v>0</v>
      </c>
      <c r="AC214" s="499"/>
      <c r="AD214" s="513"/>
      <c r="AE214" s="508"/>
      <c r="AF214" s="508"/>
      <c r="AG214" s="508"/>
      <c r="AH214" s="508"/>
    </row>
    <row r="215" spans="1:34" ht="15.75" customHeight="1" hidden="1">
      <c r="A215" s="585"/>
      <c r="B215" s="586"/>
      <c r="C215" s="618"/>
      <c r="D215" s="198" t="s">
        <v>1060</v>
      </c>
      <c r="E215" s="199"/>
      <c r="F215" s="143"/>
      <c r="G215" s="199"/>
      <c r="H215" s="417">
        <v>3132</v>
      </c>
      <c r="I215" s="201">
        <v>0</v>
      </c>
      <c r="J215" s="201"/>
      <c r="K215" s="201"/>
      <c r="L215" s="201"/>
      <c r="M215" s="201"/>
      <c r="N215" s="407"/>
      <c r="O215" s="201">
        <v>0</v>
      </c>
      <c r="P215" s="407"/>
      <c r="Q215" s="407"/>
      <c r="R215" s="407"/>
      <c r="S215" s="407"/>
      <c r="T215" s="407"/>
      <c r="U215" s="407"/>
      <c r="V215" s="407"/>
      <c r="W215" s="407"/>
      <c r="X215" s="407"/>
      <c r="Y215" s="407"/>
      <c r="Z215" s="201">
        <v>0</v>
      </c>
      <c r="AA215" s="407">
        <f t="shared" si="21"/>
        <v>0</v>
      </c>
      <c r="AC215" s="499"/>
      <c r="AD215" s="513"/>
      <c r="AE215" s="508"/>
      <c r="AF215" s="508"/>
      <c r="AG215" s="508"/>
      <c r="AH215" s="508"/>
    </row>
    <row r="216" spans="1:34" ht="15.75" customHeight="1" hidden="1">
      <c r="A216" s="585"/>
      <c r="B216" s="586"/>
      <c r="C216" s="618"/>
      <c r="D216" s="198" t="s">
        <v>1061</v>
      </c>
      <c r="E216" s="199"/>
      <c r="F216" s="143"/>
      <c r="G216" s="199"/>
      <c r="H216" s="417">
        <v>3132</v>
      </c>
      <c r="I216" s="201">
        <v>0</v>
      </c>
      <c r="J216" s="201"/>
      <c r="K216" s="201"/>
      <c r="L216" s="201"/>
      <c r="M216" s="201"/>
      <c r="N216" s="407"/>
      <c r="O216" s="201">
        <v>0</v>
      </c>
      <c r="P216" s="407"/>
      <c r="Q216" s="407"/>
      <c r="R216" s="407"/>
      <c r="S216" s="407"/>
      <c r="T216" s="407"/>
      <c r="U216" s="407"/>
      <c r="V216" s="407"/>
      <c r="W216" s="407"/>
      <c r="X216" s="407"/>
      <c r="Y216" s="407"/>
      <c r="Z216" s="201">
        <v>0</v>
      </c>
      <c r="AA216" s="407">
        <f t="shared" si="21"/>
        <v>0</v>
      </c>
      <c r="AC216" s="499"/>
      <c r="AD216" s="513"/>
      <c r="AE216" s="508"/>
      <c r="AF216" s="508"/>
      <c r="AG216" s="508"/>
      <c r="AH216" s="508"/>
    </row>
    <row r="217" spans="1:34" ht="15.75" customHeight="1" hidden="1">
      <c r="A217" s="585"/>
      <c r="B217" s="586"/>
      <c r="C217" s="618"/>
      <c r="D217" s="198" t="s">
        <v>1062</v>
      </c>
      <c r="E217" s="199"/>
      <c r="F217" s="143"/>
      <c r="G217" s="199"/>
      <c r="H217" s="417">
        <v>3132</v>
      </c>
      <c r="I217" s="201">
        <v>0</v>
      </c>
      <c r="J217" s="201"/>
      <c r="K217" s="201"/>
      <c r="L217" s="201"/>
      <c r="M217" s="201"/>
      <c r="N217" s="407"/>
      <c r="O217" s="201">
        <v>0</v>
      </c>
      <c r="P217" s="407"/>
      <c r="Q217" s="407"/>
      <c r="R217" s="407"/>
      <c r="S217" s="407"/>
      <c r="T217" s="407"/>
      <c r="U217" s="407"/>
      <c r="V217" s="407"/>
      <c r="W217" s="407"/>
      <c r="X217" s="407"/>
      <c r="Y217" s="407"/>
      <c r="Z217" s="201">
        <v>0</v>
      </c>
      <c r="AA217" s="407">
        <f aca="true" t="shared" si="27" ref="AA217:AA280">N217+O217+P217+Q217+R217+S217+T217+U217+V217+W217+X217-Z217</f>
        <v>0</v>
      </c>
      <c r="AC217" s="499"/>
      <c r="AD217" s="513"/>
      <c r="AE217" s="508"/>
      <c r="AF217" s="508"/>
      <c r="AG217" s="508"/>
      <c r="AH217" s="508"/>
    </row>
    <row r="218" spans="1:34" ht="15.75" customHeight="1" hidden="1">
      <c r="A218" s="585"/>
      <c r="B218" s="586"/>
      <c r="C218" s="619"/>
      <c r="D218" s="198" t="s">
        <v>1063</v>
      </c>
      <c r="E218" s="199"/>
      <c r="F218" s="143"/>
      <c r="G218" s="199"/>
      <c r="H218" s="417">
        <v>3132</v>
      </c>
      <c r="I218" s="201">
        <v>0</v>
      </c>
      <c r="J218" s="201"/>
      <c r="K218" s="201"/>
      <c r="L218" s="201"/>
      <c r="M218" s="201"/>
      <c r="N218" s="407"/>
      <c r="O218" s="201">
        <v>0</v>
      </c>
      <c r="P218" s="407"/>
      <c r="Q218" s="407"/>
      <c r="R218" s="407"/>
      <c r="S218" s="407"/>
      <c r="T218" s="407"/>
      <c r="U218" s="407"/>
      <c r="V218" s="407"/>
      <c r="W218" s="407"/>
      <c r="X218" s="407"/>
      <c r="Y218" s="407"/>
      <c r="Z218" s="201">
        <v>0</v>
      </c>
      <c r="AA218" s="407">
        <f t="shared" si="27"/>
        <v>0</v>
      </c>
      <c r="AC218" s="499"/>
      <c r="AD218" s="513"/>
      <c r="AE218" s="508"/>
      <c r="AF218" s="508"/>
      <c r="AG218" s="508"/>
      <c r="AH218" s="508"/>
    </row>
    <row r="219" spans="1:34" ht="47.25" customHeight="1" hidden="1">
      <c r="A219" s="585"/>
      <c r="B219" s="586"/>
      <c r="C219" s="212" t="s">
        <v>1462</v>
      </c>
      <c r="D219" s="208" t="s">
        <v>80</v>
      </c>
      <c r="E219" s="142"/>
      <c r="F219" s="143"/>
      <c r="G219" s="142"/>
      <c r="H219" s="417">
        <v>3132</v>
      </c>
      <c r="I219" s="144">
        <v>0</v>
      </c>
      <c r="J219" s="144"/>
      <c r="K219" s="144"/>
      <c r="L219" s="144"/>
      <c r="M219" s="144"/>
      <c r="N219" s="407"/>
      <c r="O219" s="144">
        <v>0</v>
      </c>
      <c r="P219" s="407"/>
      <c r="Q219" s="407"/>
      <c r="R219" s="407"/>
      <c r="S219" s="407"/>
      <c r="T219" s="407"/>
      <c r="U219" s="407"/>
      <c r="V219" s="407"/>
      <c r="W219" s="407"/>
      <c r="X219" s="407"/>
      <c r="Y219" s="407"/>
      <c r="Z219" s="144">
        <v>0</v>
      </c>
      <c r="AA219" s="407">
        <f t="shared" si="27"/>
        <v>0</v>
      </c>
      <c r="AC219" s="499"/>
      <c r="AD219" s="513"/>
      <c r="AE219" s="508"/>
      <c r="AF219" s="508"/>
      <c r="AG219" s="508"/>
      <c r="AH219" s="508"/>
    </row>
    <row r="220" spans="1:34" ht="49.5" customHeight="1">
      <c r="A220" s="585"/>
      <c r="B220" s="586"/>
      <c r="C220" s="212" t="s">
        <v>81</v>
      </c>
      <c r="D220" s="208" t="s">
        <v>82</v>
      </c>
      <c r="E220" s="142">
        <v>360</v>
      </c>
      <c r="F220" s="143">
        <f>100%-((E220-G220)/E220)</f>
        <v>1</v>
      </c>
      <c r="G220" s="142">
        <v>360</v>
      </c>
      <c r="H220" s="417">
        <v>3132</v>
      </c>
      <c r="I220" s="144">
        <v>83941.86</v>
      </c>
      <c r="J220" s="144"/>
      <c r="K220" s="144"/>
      <c r="L220" s="144">
        <v>83941.86</v>
      </c>
      <c r="M220" s="144"/>
      <c r="N220" s="407"/>
      <c r="O220" s="144">
        <v>83941.86</v>
      </c>
      <c r="P220" s="407"/>
      <c r="Q220" s="407"/>
      <c r="R220" s="407"/>
      <c r="S220" s="407"/>
      <c r="T220" s="407"/>
      <c r="U220" s="407"/>
      <c r="V220" s="407"/>
      <c r="W220" s="407"/>
      <c r="X220" s="407"/>
      <c r="Y220" s="407"/>
      <c r="Z220" s="144">
        <v>83941.86</v>
      </c>
      <c r="AA220" s="407">
        <f t="shared" si="27"/>
        <v>0</v>
      </c>
      <c r="AC220" s="499"/>
      <c r="AD220" s="513">
        <v>83941.86</v>
      </c>
      <c r="AE220" s="508"/>
      <c r="AF220" s="508"/>
      <c r="AG220" s="508"/>
      <c r="AH220" s="508"/>
    </row>
    <row r="221" spans="1:34" ht="47.25">
      <c r="A221" s="585"/>
      <c r="B221" s="586"/>
      <c r="C221" s="212" t="s">
        <v>83</v>
      </c>
      <c r="D221" s="208" t="s">
        <v>84</v>
      </c>
      <c r="E221" s="142"/>
      <c r="F221" s="143"/>
      <c r="G221" s="142"/>
      <c r="H221" s="417">
        <v>3132</v>
      </c>
      <c r="I221" s="144">
        <v>43975.12</v>
      </c>
      <c r="J221" s="144"/>
      <c r="K221" s="144"/>
      <c r="L221" s="144">
        <v>43975.12</v>
      </c>
      <c r="M221" s="144"/>
      <c r="N221" s="407"/>
      <c r="O221" s="144">
        <v>43975.12</v>
      </c>
      <c r="P221" s="407"/>
      <c r="Q221" s="407"/>
      <c r="R221" s="407"/>
      <c r="S221" s="407"/>
      <c r="T221" s="407"/>
      <c r="U221" s="407"/>
      <c r="V221" s="407"/>
      <c r="W221" s="407"/>
      <c r="X221" s="407"/>
      <c r="Y221" s="407"/>
      <c r="Z221" s="144">
        <v>43975.12</v>
      </c>
      <c r="AA221" s="407">
        <f t="shared" si="27"/>
        <v>0</v>
      </c>
      <c r="AC221" s="499"/>
      <c r="AD221" s="513">
        <v>43975.12</v>
      </c>
      <c r="AE221" s="508"/>
      <c r="AF221" s="508"/>
      <c r="AG221" s="508"/>
      <c r="AH221" s="508"/>
    </row>
    <row r="222" spans="1:34" ht="15.75">
      <c r="A222" s="585"/>
      <c r="B222" s="586"/>
      <c r="C222" s="617" t="s">
        <v>85</v>
      </c>
      <c r="D222" s="208" t="s">
        <v>86</v>
      </c>
      <c r="E222" s="142"/>
      <c r="F222" s="143"/>
      <c r="G222" s="142"/>
      <c r="H222" s="417"/>
      <c r="I222" s="144">
        <f>I223+I224+I225</f>
        <v>89990</v>
      </c>
      <c r="J222" s="144">
        <f>J223+J224+J225</f>
        <v>0</v>
      </c>
      <c r="K222" s="144">
        <f>K223+K224+K225</f>
        <v>0</v>
      </c>
      <c r="L222" s="144">
        <f>L223+L224+L225</f>
        <v>89990</v>
      </c>
      <c r="M222" s="144">
        <f>M223+M224+M225</f>
        <v>0</v>
      </c>
      <c r="N222" s="407"/>
      <c r="O222" s="144">
        <f>O223+O224+O225</f>
        <v>89990</v>
      </c>
      <c r="P222" s="407"/>
      <c r="Q222" s="407"/>
      <c r="R222" s="407"/>
      <c r="S222" s="407"/>
      <c r="T222" s="407"/>
      <c r="U222" s="407"/>
      <c r="V222" s="407"/>
      <c r="W222" s="407"/>
      <c r="X222" s="407"/>
      <c r="Y222" s="407"/>
      <c r="Z222" s="144">
        <f>Z223+Z224+Z225</f>
        <v>89990</v>
      </c>
      <c r="AA222" s="407">
        <f t="shared" si="27"/>
        <v>0</v>
      </c>
      <c r="AC222" s="499"/>
      <c r="AD222" s="513"/>
      <c r="AE222" s="508"/>
      <c r="AF222" s="508"/>
      <c r="AG222" s="508"/>
      <c r="AH222" s="508"/>
    </row>
    <row r="223" spans="1:34" ht="15.75">
      <c r="A223" s="585"/>
      <c r="B223" s="586"/>
      <c r="C223" s="618"/>
      <c r="D223" s="348" t="s">
        <v>87</v>
      </c>
      <c r="E223" s="199"/>
      <c r="F223" s="143"/>
      <c r="G223" s="199"/>
      <c r="H223" s="417">
        <v>3110</v>
      </c>
      <c r="I223" s="201">
        <v>30000</v>
      </c>
      <c r="J223" s="201"/>
      <c r="K223" s="201"/>
      <c r="L223" s="201">
        <v>30000</v>
      </c>
      <c r="M223" s="201"/>
      <c r="N223" s="407"/>
      <c r="O223" s="201">
        <v>30000</v>
      </c>
      <c r="P223" s="407"/>
      <c r="Q223" s="407"/>
      <c r="R223" s="407"/>
      <c r="S223" s="407"/>
      <c r="T223" s="407"/>
      <c r="U223" s="407"/>
      <c r="V223" s="407"/>
      <c r="W223" s="407"/>
      <c r="X223" s="407"/>
      <c r="Y223" s="407"/>
      <c r="Z223" s="201">
        <v>30000</v>
      </c>
      <c r="AA223" s="407">
        <f t="shared" si="27"/>
        <v>0</v>
      </c>
      <c r="AC223" s="499"/>
      <c r="AD223" s="513">
        <v>30000</v>
      </c>
      <c r="AE223" s="508"/>
      <c r="AF223" s="508"/>
      <c r="AG223" s="508"/>
      <c r="AH223" s="508"/>
    </row>
    <row r="224" spans="1:34" ht="15.75">
      <c r="A224" s="585"/>
      <c r="B224" s="586"/>
      <c r="C224" s="618"/>
      <c r="D224" s="348" t="s">
        <v>88</v>
      </c>
      <c r="E224" s="199"/>
      <c r="F224" s="143"/>
      <c r="G224" s="199"/>
      <c r="H224" s="417">
        <v>3110</v>
      </c>
      <c r="I224" s="201">
        <v>30000</v>
      </c>
      <c r="J224" s="201"/>
      <c r="K224" s="201"/>
      <c r="L224" s="201">
        <v>30000</v>
      </c>
      <c r="M224" s="201"/>
      <c r="N224" s="407"/>
      <c r="O224" s="201">
        <v>30000</v>
      </c>
      <c r="P224" s="407"/>
      <c r="Q224" s="407"/>
      <c r="R224" s="407"/>
      <c r="S224" s="407"/>
      <c r="T224" s="407"/>
      <c r="U224" s="407"/>
      <c r="V224" s="407"/>
      <c r="W224" s="407"/>
      <c r="X224" s="407"/>
      <c r="Y224" s="407"/>
      <c r="Z224" s="201">
        <v>30000</v>
      </c>
      <c r="AA224" s="407">
        <f t="shared" si="27"/>
        <v>0</v>
      </c>
      <c r="AC224" s="499"/>
      <c r="AD224" s="513">
        <v>30000</v>
      </c>
      <c r="AE224" s="508"/>
      <c r="AF224" s="508"/>
      <c r="AG224" s="508"/>
      <c r="AH224" s="508"/>
    </row>
    <row r="225" spans="1:34" ht="16.5" customHeight="1">
      <c r="A225" s="585"/>
      <c r="B225" s="586"/>
      <c r="C225" s="619"/>
      <c r="D225" s="348" t="s">
        <v>89</v>
      </c>
      <c r="E225" s="199"/>
      <c r="F225" s="143"/>
      <c r="G225" s="199"/>
      <c r="H225" s="417">
        <v>3110</v>
      </c>
      <c r="I225" s="201">
        <v>29990</v>
      </c>
      <c r="J225" s="201"/>
      <c r="K225" s="201"/>
      <c r="L225" s="201">
        <v>29990</v>
      </c>
      <c r="M225" s="201"/>
      <c r="N225" s="407"/>
      <c r="O225" s="201">
        <v>29990</v>
      </c>
      <c r="P225" s="407"/>
      <c r="Q225" s="407"/>
      <c r="R225" s="407"/>
      <c r="S225" s="407"/>
      <c r="T225" s="407"/>
      <c r="U225" s="407"/>
      <c r="V225" s="407"/>
      <c r="W225" s="407"/>
      <c r="X225" s="407"/>
      <c r="Y225" s="407"/>
      <c r="Z225" s="201">
        <v>29990</v>
      </c>
      <c r="AA225" s="407">
        <f t="shared" si="27"/>
        <v>0</v>
      </c>
      <c r="AC225" s="499"/>
      <c r="AD225" s="513">
        <v>29990</v>
      </c>
      <c r="AE225" s="508"/>
      <c r="AF225" s="508"/>
      <c r="AG225" s="508"/>
      <c r="AH225" s="508"/>
    </row>
    <row r="226" spans="1:34" s="40" customFormat="1" ht="47.25">
      <c r="A226" s="585"/>
      <c r="B226" s="586"/>
      <c r="C226" s="212" t="s">
        <v>90</v>
      </c>
      <c r="D226" s="208" t="s">
        <v>185</v>
      </c>
      <c r="E226" s="142">
        <v>180</v>
      </c>
      <c r="F226" s="143">
        <f>100%-((E226-G226)/E226)</f>
        <v>1</v>
      </c>
      <c r="G226" s="142">
        <v>180</v>
      </c>
      <c r="H226" s="417">
        <v>3132</v>
      </c>
      <c r="I226" s="144">
        <v>78060.07</v>
      </c>
      <c r="J226" s="144"/>
      <c r="K226" s="144"/>
      <c r="L226" s="144">
        <v>78060.07</v>
      </c>
      <c r="M226" s="144"/>
      <c r="N226" s="407"/>
      <c r="O226" s="144">
        <v>78060.07</v>
      </c>
      <c r="P226" s="407"/>
      <c r="Q226" s="407"/>
      <c r="R226" s="407"/>
      <c r="S226" s="407"/>
      <c r="T226" s="407"/>
      <c r="U226" s="407"/>
      <c r="V226" s="407"/>
      <c r="W226" s="407"/>
      <c r="X226" s="407"/>
      <c r="Y226" s="407"/>
      <c r="Z226" s="144">
        <v>78060.07</v>
      </c>
      <c r="AA226" s="407">
        <f t="shared" si="27"/>
        <v>0</v>
      </c>
      <c r="AC226" s="498"/>
      <c r="AD226" s="512">
        <v>78060.07</v>
      </c>
      <c r="AE226" s="507"/>
      <c r="AF226" s="507"/>
      <c r="AG226" s="507"/>
      <c r="AH226" s="507"/>
    </row>
    <row r="227" spans="1:34" s="40" customFormat="1" ht="31.5" customHeight="1" hidden="1">
      <c r="A227" s="585"/>
      <c r="B227" s="586"/>
      <c r="C227" s="212" t="s">
        <v>186</v>
      </c>
      <c r="D227" s="208" t="s">
        <v>1598</v>
      </c>
      <c r="E227" s="142">
        <v>40</v>
      </c>
      <c r="F227" s="143">
        <f>100%-((E227-G227)/E227)</f>
        <v>1</v>
      </c>
      <c r="G227" s="142">
        <v>40</v>
      </c>
      <c r="H227" s="417"/>
      <c r="I227" s="144">
        <v>0</v>
      </c>
      <c r="J227" s="144"/>
      <c r="K227" s="144"/>
      <c r="L227" s="144"/>
      <c r="M227" s="144"/>
      <c r="N227" s="407"/>
      <c r="O227" s="144">
        <v>0</v>
      </c>
      <c r="P227" s="407"/>
      <c r="Q227" s="407"/>
      <c r="R227" s="407"/>
      <c r="S227" s="407"/>
      <c r="T227" s="407"/>
      <c r="U227" s="407"/>
      <c r="V227" s="407"/>
      <c r="W227" s="407"/>
      <c r="X227" s="407"/>
      <c r="Y227" s="407"/>
      <c r="Z227" s="144">
        <v>0</v>
      </c>
      <c r="AA227" s="407">
        <f t="shared" si="27"/>
        <v>0</v>
      </c>
      <c r="AC227" s="498"/>
      <c r="AD227" s="512"/>
      <c r="AE227" s="507"/>
      <c r="AF227" s="507"/>
      <c r="AG227" s="507"/>
      <c r="AH227" s="507"/>
    </row>
    <row r="228" spans="1:34" ht="31.5">
      <c r="A228" s="585"/>
      <c r="B228" s="586"/>
      <c r="C228" s="212" t="s">
        <v>1599</v>
      </c>
      <c r="D228" s="208" t="s">
        <v>135</v>
      </c>
      <c r="E228" s="142"/>
      <c r="F228" s="143"/>
      <c r="G228" s="142"/>
      <c r="H228" s="417">
        <v>3110</v>
      </c>
      <c r="I228" s="144">
        <v>6200</v>
      </c>
      <c r="J228" s="144"/>
      <c r="K228" s="144"/>
      <c r="L228" s="144">
        <v>6200</v>
      </c>
      <c r="M228" s="144"/>
      <c r="N228" s="407"/>
      <c r="O228" s="144">
        <v>6200</v>
      </c>
      <c r="P228" s="407"/>
      <c r="Q228" s="407"/>
      <c r="R228" s="407"/>
      <c r="S228" s="407"/>
      <c r="T228" s="407"/>
      <c r="U228" s="407"/>
      <c r="V228" s="407"/>
      <c r="W228" s="407"/>
      <c r="X228" s="407"/>
      <c r="Y228" s="407"/>
      <c r="Z228" s="144">
        <f>6200-6200</f>
        <v>0</v>
      </c>
      <c r="AA228" s="407">
        <f t="shared" si="27"/>
        <v>6200</v>
      </c>
      <c r="AC228" s="499"/>
      <c r="AD228" s="513">
        <v>6200</v>
      </c>
      <c r="AE228" s="508"/>
      <c r="AF228" s="508"/>
      <c r="AG228" s="508"/>
      <c r="AH228" s="508"/>
    </row>
    <row r="229" spans="1:34" ht="31.5" customHeight="1" hidden="1">
      <c r="A229" s="585"/>
      <c r="B229" s="586"/>
      <c r="C229" s="212" t="s">
        <v>1038</v>
      </c>
      <c r="D229" s="208" t="s">
        <v>948</v>
      </c>
      <c r="E229" s="142"/>
      <c r="F229" s="143"/>
      <c r="G229" s="142"/>
      <c r="H229" s="417"/>
      <c r="I229" s="144">
        <v>0</v>
      </c>
      <c r="J229" s="144"/>
      <c r="K229" s="144"/>
      <c r="L229" s="144"/>
      <c r="M229" s="144"/>
      <c r="N229" s="407"/>
      <c r="O229" s="144">
        <v>0</v>
      </c>
      <c r="P229" s="407"/>
      <c r="Q229" s="407"/>
      <c r="R229" s="407"/>
      <c r="S229" s="407"/>
      <c r="T229" s="407"/>
      <c r="U229" s="407"/>
      <c r="V229" s="407"/>
      <c r="W229" s="407"/>
      <c r="X229" s="407"/>
      <c r="Y229" s="407"/>
      <c r="Z229" s="144">
        <v>0</v>
      </c>
      <c r="AA229" s="407">
        <f t="shared" si="27"/>
        <v>0</v>
      </c>
      <c r="AC229" s="499"/>
      <c r="AD229" s="513"/>
      <c r="AE229" s="508"/>
      <c r="AF229" s="508"/>
      <c r="AG229" s="508"/>
      <c r="AH229" s="508"/>
    </row>
    <row r="230" spans="1:34" ht="47.25" customHeight="1" hidden="1">
      <c r="A230" s="585"/>
      <c r="B230" s="586"/>
      <c r="C230" s="212" t="s">
        <v>949</v>
      </c>
      <c r="D230" s="208" t="s">
        <v>242</v>
      </c>
      <c r="E230" s="142"/>
      <c r="F230" s="143"/>
      <c r="G230" s="142"/>
      <c r="H230" s="417"/>
      <c r="I230" s="144">
        <v>0</v>
      </c>
      <c r="J230" s="144"/>
      <c r="K230" s="144"/>
      <c r="L230" s="144"/>
      <c r="M230" s="144"/>
      <c r="N230" s="407"/>
      <c r="O230" s="144">
        <v>0</v>
      </c>
      <c r="P230" s="407"/>
      <c r="Q230" s="407"/>
      <c r="R230" s="407"/>
      <c r="S230" s="407"/>
      <c r="T230" s="407"/>
      <c r="U230" s="407"/>
      <c r="V230" s="407"/>
      <c r="W230" s="407"/>
      <c r="X230" s="407"/>
      <c r="Y230" s="407"/>
      <c r="Z230" s="144">
        <v>0</v>
      </c>
      <c r="AA230" s="407">
        <f t="shared" si="27"/>
        <v>0</v>
      </c>
      <c r="AC230" s="499"/>
      <c r="AD230" s="513"/>
      <c r="AE230" s="508"/>
      <c r="AF230" s="508"/>
      <c r="AG230" s="508"/>
      <c r="AH230" s="508"/>
    </row>
    <row r="231" spans="1:34" ht="15.75" customHeight="1" hidden="1">
      <c r="A231" s="585"/>
      <c r="B231" s="586"/>
      <c r="C231" s="617" t="s">
        <v>243</v>
      </c>
      <c r="D231" s="208" t="s">
        <v>1115</v>
      </c>
      <c r="E231" s="142"/>
      <c r="F231" s="143"/>
      <c r="G231" s="142"/>
      <c r="H231" s="417"/>
      <c r="I231" s="144">
        <v>0</v>
      </c>
      <c r="J231" s="144">
        <f>J232+J233</f>
        <v>0</v>
      </c>
      <c r="K231" s="144">
        <f>K232+K233</f>
        <v>0</v>
      </c>
      <c r="L231" s="144">
        <f>L232+L233</f>
        <v>0</v>
      </c>
      <c r="M231" s="144">
        <f>M232+M233</f>
        <v>0</v>
      </c>
      <c r="N231" s="407"/>
      <c r="O231" s="144">
        <v>0</v>
      </c>
      <c r="P231" s="407"/>
      <c r="Q231" s="407"/>
      <c r="R231" s="407"/>
      <c r="S231" s="407"/>
      <c r="T231" s="407"/>
      <c r="U231" s="407"/>
      <c r="V231" s="407"/>
      <c r="W231" s="407"/>
      <c r="X231" s="407"/>
      <c r="Y231" s="407"/>
      <c r="Z231" s="144">
        <v>0</v>
      </c>
      <c r="AA231" s="407">
        <f t="shared" si="27"/>
        <v>0</v>
      </c>
      <c r="AC231" s="499"/>
      <c r="AD231" s="513"/>
      <c r="AE231" s="508"/>
      <c r="AF231" s="508"/>
      <c r="AG231" s="508"/>
      <c r="AH231" s="508"/>
    </row>
    <row r="232" spans="1:34" ht="15.75" customHeight="1" hidden="1">
      <c r="A232" s="585"/>
      <c r="B232" s="586"/>
      <c r="C232" s="618"/>
      <c r="D232" s="213" t="s">
        <v>1116</v>
      </c>
      <c r="E232" s="199"/>
      <c r="F232" s="143"/>
      <c r="G232" s="199"/>
      <c r="H232" s="423"/>
      <c r="I232" s="201">
        <v>0</v>
      </c>
      <c r="J232" s="201"/>
      <c r="K232" s="201"/>
      <c r="L232" s="201"/>
      <c r="M232" s="201"/>
      <c r="N232" s="407"/>
      <c r="O232" s="201">
        <v>0</v>
      </c>
      <c r="P232" s="407"/>
      <c r="Q232" s="407"/>
      <c r="R232" s="407"/>
      <c r="S232" s="407"/>
      <c r="T232" s="407"/>
      <c r="U232" s="407"/>
      <c r="V232" s="407"/>
      <c r="W232" s="407"/>
      <c r="X232" s="407"/>
      <c r="Y232" s="407"/>
      <c r="Z232" s="201">
        <v>0</v>
      </c>
      <c r="AA232" s="407">
        <f t="shared" si="27"/>
        <v>0</v>
      </c>
      <c r="AC232" s="499"/>
      <c r="AD232" s="513"/>
      <c r="AE232" s="508"/>
      <c r="AF232" s="508"/>
      <c r="AG232" s="508"/>
      <c r="AH232" s="508"/>
    </row>
    <row r="233" spans="1:34" ht="15.75" customHeight="1" hidden="1">
      <c r="A233" s="585"/>
      <c r="B233" s="586"/>
      <c r="C233" s="619"/>
      <c r="D233" s="213" t="s">
        <v>1117</v>
      </c>
      <c r="E233" s="199"/>
      <c r="F233" s="143"/>
      <c r="G233" s="199"/>
      <c r="H233" s="423"/>
      <c r="I233" s="201">
        <v>0</v>
      </c>
      <c r="J233" s="201"/>
      <c r="K233" s="201"/>
      <c r="L233" s="201"/>
      <c r="M233" s="201"/>
      <c r="N233" s="407"/>
      <c r="O233" s="201">
        <v>0</v>
      </c>
      <c r="P233" s="407"/>
      <c r="Q233" s="407"/>
      <c r="R233" s="407"/>
      <c r="S233" s="407"/>
      <c r="T233" s="407"/>
      <c r="U233" s="407"/>
      <c r="V233" s="407"/>
      <c r="W233" s="407"/>
      <c r="X233" s="407"/>
      <c r="Y233" s="407"/>
      <c r="Z233" s="201">
        <v>0</v>
      </c>
      <c r="AA233" s="407">
        <f t="shared" si="27"/>
        <v>0</v>
      </c>
      <c r="AC233" s="499"/>
      <c r="AD233" s="513"/>
      <c r="AE233" s="508"/>
      <c r="AF233" s="508"/>
      <c r="AG233" s="508"/>
      <c r="AH233" s="508"/>
    </row>
    <row r="234" spans="1:34" ht="31.5">
      <c r="A234" s="585"/>
      <c r="B234" s="586"/>
      <c r="C234" s="212" t="s">
        <v>1600</v>
      </c>
      <c r="D234" s="208" t="s">
        <v>1739</v>
      </c>
      <c r="E234" s="142"/>
      <c r="F234" s="143"/>
      <c r="G234" s="142"/>
      <c r="H234" s="417">
        <v>3110</v>
      </c>
      <c r="I234" s="144">
        <v>4920</v>
      </c>
      <c r="J234" s="144"/>
      <c r="K234" s="144"/>
      <c r="L234" s="144">
        <v>4920</v>
      </c>
      <c r="M234" s="144"/>
      <c r="N234" s="407"/>
      <c r="O234" s="144">
        <v>4920</v>
      </c>
      <c r="P234" s="407"/>
      <c r="Q234" s="407"/>
      <c r="R234" s="407"/>
      <c r="S234" s="407"/>
      <c r="T234" s="407"/>
      <c r="U234" s="407"/>
      <c r="V234" s="407"/>
      <c r="W234" s="407"/>
      <c r="X234" s="407"/>
      <c r="Y234" s="407"/>
      <c r="Z234" s="144">
        <v>4920</v>
      </c>
      <c r="AA234" s="407">
        <f t="shared" si="27"/>
        <v>0</v>
      </c>
      <c r="AC234" s="499"/>
      <c r="AD234" s="513">
        <v>4920</v>
      </c>
      <c r="AE234" s="508"/>
      <c r="AF234" s="508"/>
      <c r="AG234" s="508"/>
      <c r="AH234" s="508"/>
    </row>
    <row r="235" spans="1:34" ht="31.5" customHeight="1" hidden="1">
      <c r="A235" s="585"/>
      <c r="B235" s="586"/>
      <c r="C235" s="212" t="s">
        <v>1740</v>
      </c>
      <c r="D235" s="208" t="s">
        <v>281</v>
      </c>
      <c r="E235" s="142">
        <v>45</v>
      </c>
      <c r="F235" s="143">
        <f aca="true" t="shared" si="28" ref="F235:F240">100%-((E235-G235)/E235)</f>
        <v>1</v>
      </c>
      <c r="G235" s="142">
        <v>45</v>
      </c>
      <c r="H235" s="417"/>
      <c r="I235" s="144">
        <v>0</v>
      </c>
      <c r="J235" s="144"/>
      <c r="K235" s="144"/>
      <c r="L235" s="144"/>
      <c r="M235" s="144"/>
      <c r="N235" s="407"/>
      <c r="O235" s="144">
        <v>0</v>
      </c>
      <c r="P235" s="407"/>
      <c r="Q235" s="407"/>
      <c r="R235" s="407"/>
      <c r="S235" s="407"/>
      <c r="T235" s="407"/>
      <c r="U235" s="407"/>
      <c r="V235" s="407"/>
      <c r="W235" s="407"/>
      <c r="X235" s="407"/>
      <c r="Y235" s="407"/>
      <c r="Z235" s="144">
        <v>0</v>
      </c>
      <c r="AA235" s="407">
        <f t="shared" si="27"/>
        <v>0</v>
      </c>
      <c r="AC235" s="499"/>
      <c r="AD235" s="513"/>
      <c r="AE235" s="508"/>
      <c r="AF235" s="508"/>
      <c r="AG235" s="508"/>
      <c r="AH235" s="508"/>
    </row>
    <row r="236" spans="1:34" ht="31.5">
      <c r="A236" s="585"/>
      <c r="B236" s="586"/>
      <c r="C236" s="212" t="s">
        <v>282</v>
      </c>
      <c r="D236" s="208" t="s">
        <v>692</v>
      </c>
      <c r="E236" s="142">
        <v>100</v>
      </c>
      <c r="F236" s="143">
        <f t="shared" si="28"/>
        <v>1</v>
      </c>
      <c r="G236" s="142">
        <v>100</v>
      </c>
      <c r="H236" s="417">
        <v>3132</v>
      </c>
      <c r="I236" s="144">
        <v>21197.5</v>
      </c>
      <c r="J236" s="144"/>
      <c r="K236" s="144"/>
      <c r="L236" s="144">
        <v>21197.5</v>
      </c>
      <c r="M236" s="144"/>
      <c r="N236" s="407"/>
      <c r="O236" s="144">
        <v>21197.5</v>
      </c>
      <c r="P236" s="407"/>
      <c r="Q236" s="407"/>
      <c r="R236" s="407"/>
      <c r="S236" s="407"/>
      <c r="T236" s="407"/>
      <c r="U236" s="407"/>
      <c r="V236" s="407"/>
      <c r="W236" s="407"/>
      <c r="X236" s="407"/>
      <c r="Y236" s="407"/>
      <c r="Z236" s="144">
        <v>21197.5</v>
      </c>
      <c r="AA236" s="407">
        <f t="shared" si="27"/>
        <v>0</v>
      </c>
      <c r="AC236" s="499"/>
      <c r="AD236" s="513">
        <v>21197.5</v>
      </c>
      <c r="AE236" s="508"/>
      <c r="AF236" s="508"/>
      <c r="AG236" s="508"/>
      <c r="AH236" s="508"/>
    </row>
    <row r="237" spans="1:34" ht="31.5">
      <c r="A237" s="585"/>
      <c r="B237" s="586"/>
      <c r="C237" s="212" t="s">
        <v>693</v>
      </c>
      <c r="D237" s="208" t="s">
        <v>2069</v>
      </c>
      <c r="E237" s="142">
        <v>140</v>
      </c>
      <c r="F237" s="143">
        <f t="shared" si="28"/>
        <v>1</v>
      </c>
      <c r="G237" s="142">
        <v>140</v>
      </c>
      <c r="H237" s="417">
        <v>3132</v>
      </c>
      <c r="I237" s="144">
        <v>7403.78</v>
      </c>
      <c r="J237" s="144"/>
      <c r="K237" s="144"/>
      <c r="L237" s="144">
        <v>7403.78</v>
      </c>
      <c r="M237" s="144"/>
      <c r="N237" s="407"/>
      <c r="O237" s="144">
        <v>7403.78</v>
      </c>
      <c r="P237" s="407"/>
      <c r="Q237" s="407"/>
      <c r="R237" s="407"/>
      <c r="S237" s="407"/>
      <c r="T237" s="407"/>
      <c r="U237" s="407"/>
      <c r="V237" s="407"/>
      <c r="W237" s="407"/>
      <c r="X237" s="407"/>
      <c r="Y237" s="407"/>
      <c r="Z237" s="144">
        <v>7403.78</v>
      </c>
      <c r="AA237" s="407">
        <f t="shared" si="27"/>
        <v>0</v>
      </c>
      <c r="AC237" s="499"/>
      <c r="AD237" s="513">
        <v>7403.78</v>
      </c>
      <c r="AE237" s="508"/>
      <c r="AF237" s="508"/>
      <c r="AG237" s="508"/>
      <c r="AH237" s="508"/>
    </row>
    <row r="238" spans="1:34" ht="31.5">
      <c r="A238" s="585"/>
      <c r="B238" s="586"/>
      <c r="C238" s="212" t="s">
        <v>2070</v>
      </c>
      <c r="D238" s="141" t="s">
        <v>2071</v>
      </c>
      <c r="E238" s="142">
        <v>356.989</v>
      </c>
      <c r="F238" s="143">
        <f t="shared" si="28"/>
        <v>1</v>
      </c>
      <c r="G238" s="142">
        <v>356.989</v>
      </c>
      <c r="H238" s="417">
        <v>3132</v>
      </c>
      <c r="I238" s="144">
        <v>14027.17</v>
      </c>
      <c r="J238" s="144"/>
      <c r="K238" s="144"/>
      <c r="L238" s="144">
        <v>14027.17</v>
      </c>
      <c r="M238" s="144"/>
      <c r="N238" s="407"/>
      <c r="O238" s="144">
        <v>14027.17</v>
      </c>
      <c r="P238" s="407"/>
      <c r="Q238" s="407"/>
      <c r="R238" s="407"/>
      <c r="S238" s="407"/>
      <c r="T238" s="407"/>
      <c r="U238" s="407"/>
      <c r="V238" s="407"/>
      <c r="W238" s="407"/>
      <c r="X238" s="407"/>
      <c r="Y238" s="407"/>
      <c r="Z238" s="144">
        <v>14027.17</v>
      </c>
      <c r="AA238" s="407">
        <f t="shared" si="27"/>
        <v>0</v>
      </c>
      <c r="AC238" s="499"/>
      <c r="AD238" s="513">
        <v>14027.17</v>
      </c>
      <c r="AE238" s="508"/>
      <c r="AF238" s="508"/>
      <c r="AG238" s="508"/>
      <c r="AH238" s="508"/>
    </row>
    <row r="239" spans="1:34" ht="15.75" customHeight="1" hidden="1">
      <c r="A239" s="585"/>
      <c r="B239" s="586"/>
      <c r="C239" s="212" t="s">
        <v>2072</v>
      </c>
      <c r="D239" s="141" t="s">
        <v>331</v>
      </c>
      <c r="E239" s="142">
        <v>450</v>
      </c>
      <c r="F239" s="143">
        <f t="shared" si="28"/>
        <v>1</v>
      </c>
      <c r="G239" s="142">
        <v>450</v>
      </c>
      <c r="H239" s="417">
        <v>3132</v>
      </c>
      <c r="I239" s="144">
        <v>0</v>
      </c>
      <c r="J239" s="144"/>
      <c r="K239" s="144"/>
      <c r="L239" s="144"/>
      <c r="M239" s="144"/>
      <c r="N239" s="407"/>
      <c r="O239" s="144">
        <v>0</v>
      </c>
      <c r="P239" s="407"/>
      <c r="Q239" s="407"/>
      <c r="R239" s="407"/>
      <c r="S239" s="407"/>
      <c r="T239" s="407"/>
      <c r="U239" s="407"/>
      <c r="V239" s="407"/>
      <c r="W239" s="407"/>
      <c r="X239" s="407"/>
      <c r="Y239" s="407"/>
      <c r="Z239" s="144">
        <v>0</v>
      </c>
      <c r="AA239" s="407">
        <f t="shared" si="27"/>
        <v>0</v>
      </c>
      <c r="AC239" s="499"/>
      <c r="AD239" s="513"/>
      <c r="AE239" s="508"/>
      <c r="AF239" s="508"/>
      <c r="AG239" s="508"/>
      <c r="AH239" s="508"/>
    </row>
    <row r="240" spans="1:34" ht="47.25">
      <c r="A240" s="585"/>
      <c r="B240" s="586"/>
      <c r="C240" s="212" t="s">
        <v>136</v>
      </c>
      <c r="D240" s="141" t="s">
        <v>137</v>
      </c>
      <c r="E240" s="142">
        <v>250</v>
      </c>
      <c r="F240" s="143">
        <f t="shared" si="28"/>
        <v>1</v>
      </c>
      <c r="G240" s="142">
        <v>250</v>
      </c>
      <c r="H240" s="417">
        <v>3132</v>
      </c>
      <c r="I240" s="144">
        <v>98481.84</v>
      </c>
      <c r="J240" s="144"/>
      <c r="K240" s="144"/>
      <c r="L240" s="144">
        <v>98481.84</v>
      </c>
      <c r="M240" s="144"/>
      <c r="N240" s="407"/>
      <c r="O240" s="144">
        <v>98481.84</v>
      </c>
      <c r="P240" s="407"/>
      <c r="Q240" s="407"/>
      <c r="R240" s="407"/>
      <c r="S240" s="407"/>
      <c r="T240" s="407"/>
      <c r="U240" s="407"/>
      <c r="V240" s="407"/>
      <c r="W240" s="407"/>
      <c r="X240" s="407"/>
      <c r="Y240" s="407"/>
      <c r="Z240" s="144">
        <v>98481.84</v>
      </c>
      <c r="AA240" s="407">
        <f t="shared" si="27"/>
        <v>0</v>
      </c>
      <c r="AC240" s="499"/>
      <c r="AD240" s="513">
        <v>98481.84</v>
      </c>
      <c r="AE240" s="508"/>
      <c r="AF240" s="508"/>
      <c r="AG240" s="508"/>
      <c r="AH240" s="508"/>
    </row>
    <row r="241" spans="1:34" ht="31.5" customHeight="1" hidden="1">
      <c r="A241" s="585"/>
      <c r="B241" s="586"/>
      <c r="C241" s="212" t="s">
        <v>118</v>
      </c>
      <c r="D241" s="141" t="s">
        <v>2000</v>
      </c>
      <c r="E241" s="142"/>
      <c r="F241" s="143"/>
      <c r="G241" s="142"/>
      <c r="H241" s="417">
        <v>3132</v>
      </c>
      <c r="I241" s="144">
        <v>0</v>
      </c>
      <c r="J241" s="144"/>
      <c r="K241" s="144"/>
      <c r="L241" s="144"/>
      <c r="M241" s="144"/>
      <c r="N241" s="407"/>
      <c r="O241" s="144">
        <v>0</v>
      </c>
      <c r="P241" s="407"/>
      <c r="Q241" s="407"/>
      <c r="R241" s="407"/>
      <c r="S241" s="407"/>
      <c r="T241" s="407"/>
      <c r="U241" s="407"/>
      <c r="V241" s="407"/>
      <c r="W241" s="407"/>
      <c r="X241" s="407"/>
      <c r="Y241" s="407"/>
      <c r="Z241" s="144">
        <v>0</v>
      </c>
      <c r="AA241" s="407">
        <f t="shared" si="27"/>
        <v>0</v>
      </c>
      <c r="AC241" s="499"/>
      <c r="AD241" s="513"/>
      <c r="AE241" s="508"/>
      <c r="AF241" s="508"/>
      <c r="AG241" s="508"/>
      <c r="AH241" s="508"/>
    </row>
    <row r="242" spans="1:34" ht="15.75">
      <c r="A242" s="585"/>
      <c r="B242" s="586"/>
      <c r="C242" s="617" t="s">
        <v>883</v>
      </c>
      <c r="D242" s="141" t="s">
        <v>2001</v>
      </c>
      <c r="E242" s="142"/>
      <c r="F242" s="143"/>
      <c r="G242" s="142"/>
      <c r="H242" s="417"/>
      <c r="I242" s="144">
        <f>SUM(I243:I246)</f>
        <v>298112.9</v>
      </c>
      <c r="J242" s="144">
        <f>SUM(J243:J246)</f>
        <v>0</v>
      </c>
      <c r="K242" s="144">
        <f>SUM(K243:K246)</f>
        <v>0</v>
      </c>
      <c r="L242" s="144">
        <f>SUM(L243:L246)</f>
        <v>298112.9</v>
      </c>
      <c r="M242" s="144">
        <f>SUM(M243:M246)</f>
        <v>0</v>
      </c>
      <c r="N242" s="407"/>
      <c r="O242" s="144">
        <f>SUM(O243:O246)</f>
        <v>298112.9</v>
      </c>
      <c r="P242" s="407"/>
      <c r="Q242" s="407"/>
      <c r="R242" s="407"/>
      <c r="S242" s="407"/>
      <c r="T242" s="407"/>
      <c r="U242" s="407"/>
      <c r="V242" s="407"/>
      <c r="W242" s="407"/>
      <c r="X242" s="407"/>
      <c r="Y242" s="407"/>
      <c r="Z242" s="144">
        <f>SUM(Z243:Z246)</f>
        <v>298112.9</v>
      </c>
      <c r="AA242" s="407">
        <f t="shared" si="27"/>
        <v>0</v>
      </c>
      <c r="AC242" s="499"/>
      <c r="AD242" s="513"/>
      <c r="AE242" s="508"/>
      <c r="AF242" s="508"/>
      <c r="AG242" s="508"/>
      <c r="AH242" s="508"/>
    </row>
    <row r="243" spans="1:34" ht="15.75">
      <c r="A243" s="585"/>
      <c r="B243" s="586"/>
      <c r="C243" s="618"/>
      <c r="D243" s="347" t="s">
        <v>2002</v>
      </c>
      <c r="E243" s="199">
        <v>992.628</v>
      </c>
      <c r="F243" s="143">
        <f aca="true" t="shared" si="29" ref="F243:F250">100%-((E243-G243)/E243)</f>
        <v>1</v>
      </c>
      <c r="G243" s="199">
        <v>992.628</v>
      </c>
      <c r="H243" s="417">
        <v>3132</v>
      </c>
      <c r="I243" s="201">
        <v>165786</v>
      </c>
      <c r="J243" s="201"/>
      <c r="K243" s="201"/>
      <c r="L243" s="201">
        <v>165786</v>
      </c>
      <c r="M243" s="201"/>
      <c r="N243" s="407"/>
      <c r="O243" s="201">
        <v>165786</v>
      </c>
      <c r="P243" s="407"/>
      <c r="Q243" s="407"/>
      <c r="R243" s="407"/>
      <c r="S243" s="407"/>
      <c r="T243" s="407"/>
      <c r="U243" s="407"/>
      <c r="V243" s="407"/>
      <c r="W243" s="407"/>
      <c r="X243" s="407"/>
      <c r="Y243" s="407"/>
      <c r="Z243" s="201">
        <v>165786</v>
      </c>
      <c r="AA243" s="407">
        <f t="shared" si="27"/>
        <v>0</v>
      </c>
      <c r="AC243" s="499"/>
      <c r="AD243" s="513">
        <v>165786</v>
      </c>
      <c r="AE243" s="508"/>
      <c r="AF243" s="508"/>
      <c r="AG243" s="508"/>
      <c r="AH243" s="508"/>
    </row>
    <row r="244" spans="1:34" ht="15.75" customHeight="1" hidden="1">
      <c r="A244" s="585"/>
      <c r="B244" s="586"/>
      <c r="C244" s="618"/>
      <c r="D244" s="347" t="s">
        <v>2003</v>
      </c>
      <c r="E244" s="199">
        <v>744.44</v>
      </c>
      <c r="F244" s="143">
        <f t="shared" si="29"/>
        <v>1</v>
      </c>
      <c r="G244" s="199">
        <v>744.44</v>
      </c>
      <c r="H244" s="417">
        <v>3132</v>
      </c>
      <c r="I244" s="201">
        <v>0</v>
      </c>
      <c r="J244" s="201"/>
      <c r="K244" s="201"/>
      <c r="L244" s="201"/>
      <c r="M244" s="201"/>
      <c r="N244" s="407"/>
      <c r="O244" s="201">
        <v>0</v>
      </c>
      <c r="P244" s="407"/>
      <c r="Q244" s="407"/>
      <c r="R244" s="407"/>
      <c r="S244" s="407"/>
      <c r="T244" s="407"/>
      <c r="U244" s="407"/>
      <c r="V244" s="407"/>
      <c r="W244" s="407"/>
      <c r="X244" s="407"/>
      <c r="Y244" s="407"/>
      <c r="Z244" s="201">
        <v>0</v>
      </c>
      <c r="AA244" s="407">
        <f t="shared" si="27"/>
        <v>0</v>
      </c>
      <c r="AC244" s="499"/>
      <c r="AD244" s="513"/>
      <c r="AE244" s="508"/>
      <c r="AF244" s="508"/>
      <c r="AG244" s="508"/>
      <c r="AH244" s="508"/>
    </row>
    <row r="245" spans="1:34" ht="15.75">
      <c r="A245" s="585"/>
      <c r="B245" s="586"/>
      <c r="C245" s="618"/>
      <c r="D245" s="347" t="s">
        <v>2004</v>
      </c>
      <c r="E245" s="199">
        <v>154</v>
      </c>
      <c r="F245" s="143">
        <f t="shared" si="29"/>
        <v>0.445</v>
      </c>
      <c r="G245" s="199">
        <v>68.589</v>
      </c>
      <c r="H245" s="417">
        <v>3132</v>
      </c>
      <c r="I245" s="201">
        <v>81540.9</v>
      </c>
      <c r="J245" s="201"/>
      <c r="K245" s="201"/>
      <c r="L245" s="201">
        <v>81540.9</v>
      </c>
      <c r="M245" s="201"/>
      <c r="N245" s="407"/>
      <c r="O245" s="201">
        <v>81540.9</v>
      </c>
      <c r="P245" s="407"/>
      <c r="Q245" s="407"/>
      <c r="R245" s="407"/>
      <c r="S245" s="407"/>
      <c r="T245" s="407"/>
      <c r="U245" s="407"/>
      <c r="V245" s="407"/>
      <c r="W245" s="407"/>
      <c r="X245" s="407"/>
      <c r="Y245" s="407"/>
      <c r="Z245" s="201">
        <v>81540.9</v>
      </c>
      <c r="AA245" s="407">
        <f t="shared" si="27"/>
        <v>0</v>
      </c>
      <c r="AC245" s="499"/>
      <c r="AD245" s="513">
        <v>81540.9</v>
      </c>
      <c r="AE245" s="508"/>
      <c r="AF245" s="508"/>
      <c r="AG245" s="508"/>
      <c r="AH245" s="508"/>
    </row>
    <row r="246" spans="1:34" ht="15.75">
      <c r="A246" s="585"/>
      <c r="B246" s="586"/>
      <c r="C246" s="619"/>
      <c r="D246" s="347" t="s">
        <v>2005</v>
      </c>
      <c r="E246" s="199">
        <v>231</v>
      </c>
      <c r="F246" s="143">
        <f t="shared" si="29"/>
        <v>1</v>
      </c>
      <c r="G246" s="199">
        <v>231</v>
      </c>
      <c r="H246" s="417">
        <v>3132</v>
      </c>
      <c r="I246" s="201">
        <v>50786</v>
      </c>
      <c r="J246" s="201"/>
      <c r="K246" s="201"/>
      <c r="L246" s="201">
        <v>50786</v>
      </c>
      <c r="M246" s="201"/>
      <c r="N246" s="407"/>
      <c r="O246" s="201">
        <v>50786</v>
      </c>
      <c r="P246" s="407"/>
      <c r="Q246" s="407"/>
      <c r="R246" s="407"/>
      <c r="S246" s="407"/>
      <c r="T246" s="407"/>
      <c r="U246" s="407"/>
      <c r="V246" s="407"/>
      <c r="W246" s="407"/>
      <c r="X246" s="407"/>
      <c r="Y246" s="407"/>
      <c r="Z246" s="201">
        <v>50786</v>
      </c>
      <c r="AA246" s="407">
        <f t="shared" si="27"/>
        <v>0</v>
      </c>
      <c r="AC246" s="499"/>
      <c r="AD246" s="513">
        <v>50786</v>
      </c>
      <c r="AE246" s="508"/>
      <c r="AF246" s="508"/>
      <c r="AG246" s="508"/>
      <c r="AH246" s="508"/>
    </row>
    <row r="247" spans="1:34" ht="31.5">
      <c r="A247" s="585"/>
      <c r="B247" s="586"/>
      <c r="C247" s="212" t="s">
        <v>2006</v>
      </c>
      <c r="D247" s="141" t="s">
        <v>2007</v>
      </c>
      <c r="E247" s="142">
        <v>3074.98</v>
      </c>
      <c r="F247" s="143">
        <f t="shared" si="29"/>
        <v>0.907</v>
      </c>
      <c r="G247" s="142">
        <v>2787.977</v>
      </c>
      <c r="H247" s="417">
        <v>3132</v>
      </c>
      <c r="I247" s="144">
        <v>4354</v>
      </c>
      <c r="J247" s="144"/>
      <c r="K247" s="144"/>
      <c r="L247" s="144">
        <v>4354</v>
      </c>
      <c r="M247" s="144"/>
      <c r="N247" s="407"/>
      <c r="O247" s="144">
        <v>4354</v>
      </c>
      <c r="P247" s="407"/>
      <c r="Q247" s="407"/>
      <c r="R247" s="407"/>
      <c r="S247" s="407"/>
      <c r="T247" s="407"/>
      <c r="U247" s="407"/>
      <c r="V247" s="407"/>
      <c r="W247" s="407"/>
      <c r="X247" s="407"/>
      <c r="Y247" s="407"/>
      <c r="Z247" s="144">
        <v>4354</v>
      </c>
      <c r="AA247" s="407">
        <f t="shared" si="27"/>
        <v>0</v>
      </c>
      <c r="AC247" s="499"/>
      <c r="AD247" s="513">
        <v>4354</v>
      </c>
      <c r="AE247" s="508"/>
      <c r="AF247" s="508"/>
      <c r="AG247" s="508"/>
      <c r="AH247" s="508"/>
    </row>
    <row r="248" spans="1:34" ht="31.5" customHeight="1" hidden="1">
      <c r="A248" s="585"/>
      <c r="B248" s="586"/>
      <c r="C248" s="212" t="s">
        <v>2008</v>
      </c>
      <c r="D248" s="141" t="s">
        <v>2009</v>
      </c>
      <c r="E248" s="142">
        <v>85</v>
      </c>
      <c r="F248" s="143">
        <f t="shared" si="29"/>
        <v>1</v>
      </c>
      <c r="G248" s="142">
        <v>85</v>
      </c>
      <c r="H248" s="417">
        <v>3132</v>
      </c>
      <c r="I248" s="144">
        <v>0</v>
      </c>
      <c r="J248" s="144"/>
      <c r="K248" s="144"/>
      <c r="L248" s="144"/>
      <c r="M248" s="144"/>
      <c r="N248" s="407"/>
      <c r="O248" s="144">
        <v>0</v>
      </c>
      <c r="P248" s="407"/>
      <c r="Q248" s="407"/>
      <c r="R248" s="407"/>
      <c r="S248" s="407"/>
      <c r="T248" s="407"/>
      <c r="U248" s="407"/>
      <c r="V248" s="407"/>
      <c r="W248" s="407"/>
      <c r="X248" s="407"/>
      <c r="Y248" s="407"/>
      <c r="Z248" s="144">
        <v>0</v>
      </c>
      <c r="AA248" s="407">
        <f t="shared" si="27"/>
        <v>0</v>
      </c>
      <c r="AC248" s="499"/>
      <c r="AD248" s="513"/>
      <c r="AE248" s="508"/>
      <c r="AF248" s="508"/>
      <c r="AG248" s="508"/>
      <c r="AH248" s="508"/>
    </row>
    <row r="249" spans="1:34" ht="33.75" customHeight="1">
      <c r="A249" s="585"/>
      <c r="B249" s="586"/>
      <c r="C249" s="212" t="s">
        <v>2010</v>
      </c>
      <c r="D249" s="141" t="s">
        <v>77</v>
      </c>
      <c r="E249" s="142">
        <v>3716.685</v>
      </c>
      <c r="F249" s="143">
        <f t="shared" si="29"/>
        <v>0.916</v>
      </c>
      <c r="G249" s="142">
        <v>3405.08</v>
      </c>
      <c r="H249" s="417">
        <v>3132</v>
      </c>
      <c r="I249" s="144">
        <v>1911.11</v>
      </c>
      <c r="J249" s="144"/>
      <c r="K249" s="144"/>
      <c r="L249" s="144">
        <v>1911.11</v>
      </c>
      <c r="M249" s="144"/>
      <c r="N249" s="407"/>
      <c r="O249" s="144">
        <v>1911.11</v>
      </c>
      <c r="P249" s="407"/>
      <c r="Q249" s="407"/>
      <c r="R249" s="407"/>
      <c r="S249" s="407"/>
      <c r="T249" s="407"/>
      <c r="U249" s="407"/>
      <c r="V249" s="407"/>
      <c r="W249" s="407"/>
      <c r="X249" s="407"/>
      <c r="Y249" s="407"/>
      <c r="Z249" s="144">
        <v>1911.11</v>
      </c>
      <c r="AA249" s="407">
        <f t="shared" si="27"/>
        <v>0</v>
      </c>
      <c r="AC249" s="499"/>
      <c r="AD249" s="513">
        <v>1911.11</v>
      </c>
      <c r="AE249" s="508"/>
      <c r="AF249" s="508"/>
      <c r="AG249" s="508"/>
      <c r="AH249" s="508"/>
    </row>
    <row r="250" spans="1:34" ht="31.5">
      <c r="A250" s="585"/>
      <c r="B250" s="586"/>
      <c r="C250" s="212" t="s">
        <v>78</v>
      </c>
      <c r="D250" s="141" t="s">
        <v>1338</v>
      </c>
      <c r="E250" s="142">
        <v>1000.372</v>
      </c>
      <c r="F250" s="143">
        <f t="shared" si="29"/>
        <v>1</v>
      </c>
      <c r="G250" s="142">
        <v>1000.72</v>
      </c>
      <c r="H250" s="417">
        <v>3132</v>
      </c>
      <c r="I250" s="144">
        <v>1863.75</v>
      </c>
      <c r="J250" s="144"/>
      <c r="K250" s="144"/>
      <c r="L250" s="144">
        <v>1863.75</v>
      </c>
      <c r="M250" s="144"/>
      <c r="N250" s="407"/>
      <c r="O250" s="144">
        <v>1863.75</v>
      </c>
      <c r="P250" s="407"/>
      <c r="Q250" s="407"/>
      <c r="R250" s="407"/>
      <c r="S250" s="407"/>
      <c r="T250" s="407"/>
      <c r="U250" s="407"/>
      <c r="V250" s="407"/>
      <c r="W250" s="407"/>
      <c r="X250" s="407"/>
      <c r="Y250" s="407"/>
      <c r="Z250" s="144">
        <v>1863.75</v>
      </c>
      <c r="AA250" s="407">
        <f t="shared" si="27"/>
        <v>0</v>
      </c>
      <c r="AC250" s="499"/>
      <c r="AD250" s="513">
        <v>1863.75</v>
      </c>
      <c r="AE250" s="508"/>
      <c r="AF250" s="508"/>
      <c r="AG250" s="508"/>
      <c r="AH250" s="508"/>
    </row>
    <row r="251" spans="1:34" ht="31.5">
      <c r="A251" s="585"/>
      <c r="B251" s="586"/>
      <c r="C251" s="212" t="s">
        <v>1339</v>
      </c>
      <c r="D251" s="141" t="s">
        <v>1340</v>
      </c>
      <c r="E251" s="142"/>
      <c r="F251" s="143"/>
      <c r="G251" s="142"/>
      <c r="H251" s="417">
        <v>3110</v>
      </c>
      <c r="I251" s="144">
        <v>3553</v>
      </c>
      <c r="J251" s="144">
        <f>3.553-3.553</f>
        <v>0</v>
      </c>
      <c r="K251" s="144"/>
      <c r="L251" s="144">
        <v>3553</v>
      </c>
      <c r="M251" s="144"/>
      <c r="N251" s="407"/>
      <c r="O251" s="144">
        <v>3553</v>
      </c>
      <c r="P251" s="407"/>
      <c r="Q251" s="407"/>
      <c r="R251" s="407"/>
      <c r="S251" s="407"/>
      <c r="T251" s="407"/>
      <c r="U251" s="407"/>
      <c r="V251" s="407"/>
      <c r="W251" s="407"/>
      <c r="X251" s="407"/>
      <c r="Y251" s="407"/>
      <c r="Z251" s="144">
        <v>3553</v>
      </c>
      <c r="AA251" s="407">
        <f t="shared" si="27"/>
        <v>0</v>
      </c>
      <c r="AC251" s="499"/>
      <c r="AD251" s="513">
        <v>3553</v>
      </c>
      <c r="AE251" s="508"/>
      <c r="AF251" s="508"/>
      <c r="AG251" s="508"/>
      <c r="AH251" s="508"/>
    </row>
    <row r="252" spans="1:34" ht="31.5" customHeight="1" hidden="1">
      <c r="A252" s="585"/>
      <c r="B252" s="586"/>
      <c r="C252" s="212" t="s">
        <v>1341</v>
      </c>
      <c r="D252" s="141" t="s">
        <v>1616</v>
      </c>
      <c r="E252" s="142"/>
      <c r="F252" s="143"/>
      <c r="G252" s="142"/>
      <c r="H252" s="417">
        <v>3110</v>
      </c>
      <c r="I252" s="144">
        <v>0</v>
      </c>
      <c r="J252" s="144">
        <f>1.175-1.175</f>
        <v>0</v>
      </c>
      <c r="K252" s="144"/>
      <c r="L252" s="144"/>
      <c r="M252" s="144"/>
      <c r="N252" s="407"/>
      <c r="O252" s="144">
        <v>0</v>
      </c>
      <c r="P252" s="407"/>
      <c r="Q252" s="407"/>
      <c r="R252" s="407"/>
      <c r="S252" s="407"/>
      <c r="T252" s="407"/>
      <c r="U252" s="407"/>
      <c r="V252" s="407"/>
      <c r="W252" s="407"/>
      <c r="X252" s="407"/>
      <c r="Y252" s="407"/>
      <c r="Z252" s="144">
        <v>0</v>
      </c>
      <c r="AA252" s="407">
        <f t="shared" si="27"/>
        <v>0</v>
      </c>
      <c r="AC252" s="499"/>
      <c r="AD252" s="513"/>
      <c r="AE252" s="508"/>
      <c r="AF252" s="508"/>
      <c r="AG252" s="508"/>
      <c r="AH252" s="508"/>
    </row>
    <row r="253" spans="1:34" ht="15.75" customHeight="1" hidden="1">
      <c r="A253" s="585"/>
      <c r="B253" s="586"/>
      <c r="C253" s="212" t="s">
        <v>1617</v>
      </c>
      <c r="D253" s="141" t="s">
        <v>1618</v>
      </c>
      <c r="E253" s="142"/>
      <c r="F253" s="143"/>
      <c r="G253" s="142"/>
      <c r="H253" s="417">
        <v>3110</v>
      </c>
      <c r="I253" s="144">
        <v>0</v>
      </c>
      <c r="J253" s="144">
        <f>5.45-5.45</f>
        <v>0</v>
      </c>
      <c r="K253" s="144"/>
      <c r="L253" s="144"/>
      <c r="M253" s="144"/>
      <c r="N253" s="407"/>
      <c r="O253" s="144">
        <v>0</v>
      </c>
      <c r="P253" s="407"/>
      <c r="Q253" s="407"/>
      <c r="R253" s="407"/>
      <c r="S253" s="407"/>
      <c r="T253" s="407"/>
      <c r="U253" s="407"/>
      <c r="V253" s="407"/>
      <c r="W253" s="407"/>
      <c r="X253" s="407"/>
      <c r="Y253" s="407"/>
      <c r="Z253" s="144">
        <v>0</v>
      </c>
      <c r="AA253" s="407">
        <f t="shared" si="27"/>
        <v>0</v>
      </c>
      <c r="AC253" s="499"/>
      <c r="AD253" s="513"/>
      <c r="AE253" s="508"/>
      <c r="AF253" s="508"/>
      <c r="AG253" s="508"/>
      <c r="AH253" s="508"/>
    </row>
    <row r="254" spans="1:34" ht="15.75" customHeight="1" hidden="1">
      <c r="A254" s="585"/>
      <c r="B254" s="586"/>
      <c r="C254" s="212" t="s">
        <v>1619</v>
      </c>
      <c r="D254" s="141" t="s">
        <v>1620</v>
      </c>
      <c r="E254" s="142"/>
      <c r="F254" s="143"/>
      <c r="G254" s="142"/>
      <c r="H254" s="417">
        <v>3110</v>
      </c>
      <c r="I254" s="144">
        <v>0</v>
      </c>
      <c r="J254" s="144">
        <f>4.999-4.999</f>
        <v>0</v>
      </c>
      <c r="K254" s="144"/>
      <c r="L254" s="144"/>
      <c r="M254" s="144"/>
      <c r="N254" s="407"/>
      <c r="O254" s="144">
        <v>0</v>
      </c>
      <c r="P254" s="407"/>
      <c r="Q254" s="407"/>
      <c r="R254" s="407"/>
      <c r="S254" s="407"/>
      <c r="T254" s="407"/>
      <c r="U254" s="407"/>
      <c r="V254" s="407"/>
      <c r="W254" s="407"/>
      <c r="X254" s="407"/>
      <c r="Y254" s="407"/>
      <c r="Z254" s="144">
        <v>0</v>
      </c>
      <c r="AA254" s="407">
        <f t="shared" si="27"/>
        <v>0</v>
      </c>
      <c r="AC254" s="499"/>
      <c r="AD254" s="513"/>
      <c r="AE254" s="508"/>
      <c r="AF254" s="508"/>
      <c r="AG254" s="508"/>
      <c r="AH254" s="508"/>
    </row>
    <row r="255" spans="1:34" ht="15.75" customHeight="1" hidden="1">
      <c r="A255" s="585"/>
      <c r="B255" s="586"/>
      <c r="C255" s="212" t="s">
        <v>1621</v>
      </c>
      <c r="D255" s="141" t="s">
        <v>1622</v>
      </c>
      <c r="E255" s="142"/>
      <c r="F255" s="143"/>
      <c r="G255" s="142"/>
      <c r="H255" s="417">
        <v>3110</v>
      </c>
      <c r="I255" s="144">
        <v>0</v>
      </c>
      <c r="J255" s="144">
        <f>4.81913-4.81913</f>
        <v>0</v>
      </c>
      <c r="K255" s="144"/>
      <c r="L255" s="144"/>
      <c r="M255" s="144"/>
      <c r="N255" s="407"/>
      <c r="O255" s="144">
        <v>0</v>
      </c>
      <c r="P255" s="407"/>
      <c r="Q255" s="407"/>
      <c r="R255" s="407"/>
      <c r="S255" s="407"/>
      <c r="T255" s="407"/>
      <c r="U255" s="407"/>
      <c r="V255" s="407"/>
      <c r="W255" s="407"/>
      <c r="X255" s="407"/>
      <c r="Y255" s="407"/>
      <c r="Z255" s="144">
        <v>0</v>
      </c>
      <c r="AA255" s="407">
        <f t="shared" si="27"/>
        <v>0</v>
      </c>
      <c r="AC255" s="499"/>
      <c r="AD255" s="513"/>
      <c r="AE255" s="508"/>
      <c r="AF255" s="508"/>
      <c r="AG255" s="508"/>
      <c r="AH255" s="508"/>
    </row>
    <row r="256" spans="1:34" ht="15.75" customHeight="1" hidden="1">
      <c r="A256" s="585"/>
      <c r="B256" s="586"/>
      <c r="C256" s="212"/>
      <c r="D256" s="141" t="s">
        <v>1173</v>
      </c>
      <c r="E256" s="142"/>
      <c r="F256" s="143"/>
      <c r="G256" s="142"/>
      <c r="H256" s="417">
        <v>3110</v>
      </c>
      <c r="I256" s="144">
        <v>0</v>
      </c>
      <c r="J256" s="144">
        <f>2.982-2.982</f>
        <v>0</v>
      </c>
      <c r="K256" s="144"/>
      <c r="L256" s="144"/>
      <c r="M256" s="144"/>
      <c r="N256" s="407"/>
      <c r="O256" s="144">
        <v>0</v>
      </c>
      <c r="P256" s="407"/>
      <c r="Q256" s="407"/>
      <c r="R256" s="407"/>
      <c r="S256" s="407"/>
      <c r="T256" s="407"/>
      <c r="U256" s="407"/>
      <c r="V256" s="407"/>
      <c r="W256" s="407"/>
      <c r="X256" s="407"/>
      <c r="Y256" s="407"/>
      <c r="Z256" s="144">
        <v>0</v>
      </c>
      <c r="AA256" s="407">
        <f t="shared" si="27"/>
        <v>0</v>
      </c>
      <c r="AC256" s="499"/>
      <c r="AD256" s="513"/>
      <c r="AE256" s="508"/>
      <c r="AF256" s="508"/>
      <c r="AG256" s="508"/>
      <c r="AH256" s="508"/>
    </row>
    <row r="257" spans="1:34" ht="15.75" customHeight="1" hidden="1">
      <c r="A257" s="585"/>
      <c r="B257" s="586"/>
      <c r="C257" s="212" t="s">
        <v>1174</v>
      </c>
      <c r="D257" s="141" t="s">
        <v>1175</v>
      </c>
      <c r="E257" s="142"/>
      <c r="F257" s="143"/>
      <c r="G257" s="142"/>
      <c r="H257" s="417">
        <v>3110</v>
      </c>
      <c r="I257" s="144">
        <v>0</v>
      </c>
      <c r="J257" s="144">
        <f>4-4</f>
        <v>0</v>
      </c>
      <c r="K257" s="144"/>
      <c r="L257" s="144"/>
      <c r="M257" s="144"/>
      <c r="N257" s="407"/>
      <c r="O257" s="144">
        <v>0</v>
      </c>
      <c r="P257" s="407"/>
      <c r="Q257" s="407"/>
      <c r="R257" s="407"/>
      <c r="S257" s="407"/>
      <c r="T257" s="407"/>
      <c r="U257" s="407"/>
      <c r="V257" s="407"/>
      <c r="W257" s="407"/>
      <c r="X257" s="407"/>
      <c r="Y257" s="407"/>
      <c r="Z257" s="144">
        <v>0</v>
      </c>
      <c r="AA257" s="407">
        <f t="shared" si="27"/>
        <v>0</v>
      </c>
      <c r="AC257" s="499"/>
      <c r="AD257" s="513"/>
      <c r="AE257" s="508"/>
      <c r="AF257" s="508"/>
      <c r="AG257" s="508"/>
      <c r="AH257" s="508"/>
    </row>
    <row r="258" spans="1:34" ht="31.5" customHeight="1" hidden="1">
      <c r="A258" s="585"/>
      <c r="B258" s="586"/>
      <c r="C258" s="617" t="s">
        <v>1176</v>
      </c>
      <c r="D258" s="141" t="s">
        <v>1177</v>
      </c>
      <c r="E258" s="142"/>
      <c r="F258" s="143" t="e">
        <f aca="true" t="shared" si="30" ref="F258:F281">100%-((E258-G258)/E258)</f>
        <v>#DIV/0!</v>
      </c>
      <c r="G258" s="142"/>
      <c r="H258" s="417">
        <v>3110</v>
      </c>
      <c r="I258" s="144"/>
      <c r="J258" s="144"/>
      <c r="K258" s="144"/>
      <c r="L258" s="144"/>
      <c r="M258" s="144"/>
      <c r="N258" s="407"/>
      <c r="O258" s="144"/>
      <c r="P258" s="407"/>
      <c r="Q258" s="407"/>
      <c r="R258" s="407"/>
      <c r="S258" s="407"/>
      <c r="T258" s="407"/>
      <c r="U258" s="407"/>
      <c r="V258" s="407"/>
      <c r="W258" s="407"/>
      <c r="X258" s="407"/>
      <c r="Y258" s="407"/>
      <c r="Z258" s="144"/>
      <c r="AA258" s="407">
        <f t="shared" si="27"/>
        <v>0</v>
      </c>
      <c r="AC258" s="499"/>
      <c r="AD258" s="513"/>
      <c r="AE258" s="508"/>
      <c r="AF258" s="508"/>
      <c r="AG258" s="508"/>
      <c r="AH258" s="508"/>
    </row>
    <row r="259" spans="1:34" ht="15.75" customHeight="1" hidden="1">
      <c r="A259" s="585"/>
      <c r="B259" s="586"/>
      <c r="C259" s="664"/>
      <c r="D259" s="206" t="s">
        <v>1178</v>
      </c>
      <c r="E259" s="142"/>
      <c r="F259" s="143" t="e">
        <f t="shared" si="30"/>
        <v>#DIV/0!</v>
      </c>
      <c r="G259" s="142"/>
      <c r="H259" s="417">
        <v>3110</v>
      </c>
      <c r="I259" s="201"/>
      <c r="J259" s="144"/>
      <c r="K259" s="144"/>
      <c r="L259" s="201"/>
      <c r="M259" s="144"/>
      <c r="N259" s="407"/>
      <c r="O259" s="201"/>
      <c r="P259" s="407"/>
      <c r="Q259" s="407"/>
      <c r="R259" s="407"/>
      <c r="S259" s="407"/>
      <c r="T259" s="407"/>
      <c r="U259" s="407"/>
      <c r="V259" s="407"/>
      <c r="W259" s="407"/>
      <c r="X259" s="407"/>
      <c r="Y259" s="407"/>
      <c r="Z259" s="201"/>
      <c r="AA259" s="407">
        <f t="shared" si="27"/>
        <v>0</v>
      </c>
      <c r="AC259" s="499"/>
      <c r="AD259" s="513"/>
      <c r="AE259" s="508"/>
      <c r="AF259" s="508"/>
      <c r="AG259" s="508"/>
      <c r="AH259" s="508"/>
    </row>
    <row r="260" spans="1:34" ht="15.75" customHeight="1" hidden="1">
      <c r="A260" s="585"/>
      <c r="B260" s="586"/>
      <c r="C260" s="664"/>
      <c r="D260" s="206" t="s">
        <v>1179</v>
      </c>
      <c r="E260" s="142"/>
      <c r="F260" s="143" t="e">
        <f t="shared" si="30"/>
        <v>#DIV/0!</v>
      </c>
      <c r="G260" s="142"/>
      <c r="H260" s="417">
        <v>3110</v>
      </c>
      <c r="I260" s="201"/>
      <c r="J260" s="144"/>
      <c r="K260" s="144"/>
      <c r="L260" s="201"/>
      <c r="M260" s="144"/>
      <c r="N260" s="407"/>
      <c r="O260" s="201"/>
      <c r="P260" s="407"/>
      <c r="Q260" s="407"/>
      <c r="R260" s="407"/>
      <c r="S260" s="407"/>
      <c r="T260" s="407"/>
      <c r="U260" s="407"/>
      <c r="V260" s="407"/>
      <c r="W260" s="407"/>
      <c r="X260" s="407"/>
      <c r="Y260" s="407"/>
      <c r="Z260" s="201"/>
      <c r="AA260" s="407">
        <f t="shared" si="27"/>
        <v>0</v>
      </c>
      <c r="AC260" s="499"/>
      <c r="AD260" s="513"/>
      <c r="AE260" s="508"/>
      <c r="AF260" s="508"/>
      <c r="AG260" s="508"/>
      <c r="AH260" s="508"/>
    </row>
    <row r="261" spans="1:34" ht="15.75" customHeight="1" hidden="1">
      <c r="A261" s="585"/>
      <c r="B261" s="586"/>
      <c r="C261" s="664"/>
      <c r="D261" s="206" t="s">
        <v>1180</v>
      </c>
      <c r="E261" s="142"/>
      <c r="F261" s="143" t="e">
        <f t="shared" si="30"/>
        <v>#DIV/0!</v>
      </c>
      <c r="G261" s="142"/>
      <c r="H261" s="417">
        <v>3110</v>
      </c>
      <c r="I261" s="201"/>
      <c r="J261" s="144"/>
      <c r="K261" s="144"/>
      <c r="L261" s="201"/>
      <c r="M261" s="144"/>
      <c r="N261" s="407"/>
      <c r="O261" s="201"/>
      <c r="P261" s="407"/>
      <c r="Q261" s="407"/>
      <c r="R261" s="407"/>
      <c r="S261" s="407"/>
      <c r="T261" s="407"/>
      <c r="U261" s="407"/>
      <c r="V261" s="407"/>
      <c r="W261" s="407"/>
      <c r="X261" s="407"/>
      <c r="Y261" s="407"/>
      <c r="Z261" s="201"/>
      <c r="AA261" s="407">
        <f t="shared" si="27"/>
        <v>0</v>
      </c>
      <c r="AC261" s="499"/>
      <c r="AD261" s="513"/>
      <c r="AE261" s="508"/>
      <c r="AF261" s="508"/>
      <c r="AG261" s="508"/>
      <c r="AH261" s="508"/>
    </row>
    <row r="262" spans="1:34" ht="15.75" customHeight="1" hidden="1">
      <c r="A262" s="585"/>
      <c r="B262" s="586"/>
      <c r="C262" s="664"/>
      <c r="D262" s="206" t="s">
        <v>1181</v>
      </c>
      <c r="E262" s="142"/>
      <c r="F262" s="143" t="e">
        <f t="shared" si="30"/>
        <v>#DIV/0!</v>
      </c>
      <c r="G262" s="142"/>
      <c r="H262" s="417">
        <v>3110</v>
      </c>
      <c r="I262" s="201"/>
      <c r="J262" s="144"/>
      <c r="K262" s="144"/>
      <c r="L262" s="201"/>
      <c r="M262" s="144"/>
      <c r="N262" s="407"/>
      <c r="O262" s="201"/>
      <c r="P262" s="407"/>
      <c r="Q262" s="407"/>
      <c r="R262" s="407"/>
      <c r="S262" s="407"/>
      <c r="T262" s="407"/>
      <c r="U262" s="407"/>
      <c r="V262" s="407"/>
      <c r="W262" s="407"/>
      <c r="X262" s="407"/>
      <c r="Y262" s="407"/>
      <c r="Z262" s="201"/>
      <c r="AA262" s="407">
        <f t="shared" si="27"/>
        <v>0</v>
      </c>
      <c r="AC262" s="499"/>
      <c r="AD262" s="513"/>
      <c r="AE262" s="508"/>
      <c r="AF262" s="508"/>
      <c r="AG262" s="508"/>
      <c r="AH262" s="508"/>
    </row>
    <row r="263" spans="1:34" ht="15.75" customHeight="1" hidden="1">
      <c r="A263" s="585"/>
      <c r="B263" s="586"/>
      <c r="C263" s="664"/>
      <c r="D263" s="206" t="s">
        <v>1182</v>
      </c>
      <c r="E263" s="142"/>
      <c r="F263" s="143" t="e">
        <f t="shared" si="30"/>
        <v>#DIV/0!</v>
      </c>
      <c r="G263" s="142"/>
      <c r="H263" s="417">
        <v>3110</v>
      </c>
      <c r="I263" s="201"/>
      <c r="J263" s="144"/>
      <c r="K263" s="144"/>
      <c r="L263" s="201"/>
      <c r="M263" s="144"/>
      <c r="N263" s="407"/>
      <c r="O263" s="201"/>
      <c r="P263" s="407"/>
      <c r="Q263" s="407"/>
      <c r="R263" s="407"/>
      <c r="S263" s="407"/>
      <c r="T263" s="407"/>
      <c r="U263" s="407"/>
      <c r="V263" s="407"/>
      <c r="W263" s="407"/>
      <c r="X263" s="407"/>
      <c r="Y263" s="407"/>
      <c r="Z263" s="201"/>
      <c r="AA263" s="407">
        <f t="shared" si="27"/>
        <v>0</v>
      </c>
      <c r="AC263" s="499"/>
      <c r="AD263" s="513"/>
      <c r="AE263" s="508"/>
      <c r="AF263" s="508"/>
      <c r="AG263" s="508"/>
      <c r="AH263" s="508"/>
    </row>
    <row r="264" spans="1:34" ht="15.75" customHeight="1" hidden="1">
      <c r="A264" s="585"/>
      <c r="B264" s="586"/>
      <c r="C264" s="664"/>
      <c r="D264" s="206" t="s">
        <v>2033</v>
      </c>
      <c r="E264" s="142"/>
      <c r="F264" s="143" t="e">
        <f t="shared" si="30"/>
        <v>#DIV/0!</v>
      </c>
      <c r="G264" s="142"/>
      <c r="H264" s="417">
        <v>3110</v>
      </c>
      <c r="I264" s="201"/>
      <c r="J264" s="144"/>
      <c r="K264" s="144"/>
      <c r="L264" s="201"/>
      <c r="M264" s="144"/>
      <c r="N264" s="407"/>
      <c r="O264" s="201"/>
      <c r="P264" s="407"/>
      <c r="Q264" s="407"/>
      <c r="R264" s="407"/>
      <c r="S264" s="407"/>
      <c r="T264" s="407"/>
      <c r="U264" s="407"/>
      <c r="V264" s="407"/>
      <c r="W264" s="407"/>
      <c r="X264" s="407"/>
      <c r="Y264" s="407"/>
      <c r="Z264" s="201"/>
      <c r="AA264" s="407">
        <f t="shared" si="27"/>
        <v>0</v>
      </c>
      <c r="AC264" s="499"/>
      <c r="AD264" s="513"/>
      <c r="AE264" s="508"/>
      <c r="AF264" s="508"/>
      <c r="AG264" s="508"/>
      <c r="AH264" s="508"/>
    </row>
    <row r="265" spans="1:34" ht="15.75" customHeight="1" hidden="1">
      <c r="A265" s="585"/>
      <c r="B265" s="586"/>
      <c r="C265" s="664"/>
      <c r="D265" s="206" t="s">
        <v>2034</v>
      </c>
      <c r="E265" s="142"/>
      <c r="F265" s="143" t="e">
        <f t="shared" si="30"/>
        <v>#DIV/0!</v>
      </c>
      <c r="G265" s="142"/>
      <c r="H265" s="417">
        <v>3110</v>
      </c>
      <c r="I265" s="201"/>
      <c r="J265" s="144"/>
      <c r="K265" s="144"/>
      <c r="L265" s="201"/>
      <c r="M265" s="144"/>
      <c r="N265" s="407"/>
      <c r="O265" s="201"/>
      <c r="P265" s="407"/>
      <c r="Q265" s="407"/>
      <c r="R265" s="407"/>
      <c r="S265" s="407"/>
      <c r="T265" s="407"/>
      <c r="U265" s="407"/>
      <c r="V265" s="407"/>
      <c r="W265" s="407"/>
      <c r="X265" s="407"/>
      <c r="Y265" s="407"/>
      <c r="Z265" s="201"/>
      <c r="AA265" s="407">
        <f t="shared" si="27"/>
        <v>0</v>
      </c>
      <c r="AC265" s="499"/>
      <c r="AD265" s="513"/>
      <c r="AE265" s="508"/>
      <c r="AF265" s="508"/>
      <c r="AG265" s="508"/>
      <c r="AH265" s="508"/>
    </row>
    <row r="266" spans="1:34" ht="15.75" customHeight="1" hidden="1">
      <c r="A266" s="585"/>
      <c r="B266" s="586"/>
      <c r="C266" s="664"/>
      <c r="D266" s="206" t="s">
        <v>2035</v>
      </c>
      <c r="E266" s="142"/>
      <c r="F266" s="143" t="e">
        <f t="shared" si="30"/>
        <v>#DIV/0!</v>
      </c>
      <c r="G266" s="142"/>
      <c r="H266" s="417">
        <v>3110</v>
      </c>
      <c r="I266" s="201"/>
      <c r="J266" s="144"/>
      <c r="K266" s="144"/>
      <c r="L266" s="201"/>
      <c r="M266" s="144"/>
      <c r="N266" s="407"/>
      <c r="O266" s="201"/>
      <c r="P266" s="407"/>
      <c r="Q266" s="407"/>
      <c r="R266" s="407"/>
      <c r="S266" s="407"/>
      <c r="T266" s="407"/>
      <c r="U266" s="407"/>
      <c r="V266" s="407"/>
      <c r="W266" s="407"/>
      <c r="X266" s="407"/>
      <c r="Y266" s="407"/>
      <c r="Z266" s="201"/>
      <c r="AA266" s="407">
        <f t="shared" si="27"/>
        <v>0</v>
      </c>
      <c r="AC266" s="499"/>
      <c r="AD266" s="513"/>
      <c r="AE266" s="508"/>
      <c r="AF266" s="508"/>
      <c r="AG266" s="508"/>
      <c r="AH266" s="508"/>
    </row>
    <row r="267" spans="1:34" ht="15.75" customHeight="1" hidden="1">
      <c r="A267" s="585"/>
      <c r="B267" s="586"/>
      <c r="C267" s="664"/>
      <c r="D267" s="206" t="s">
        <v>2036</v>
      </c>
      <c r="E267" s="142"/>
      <c r="F267" s="143" t="e">
        <f t="shared" si="30"/>
        <v>#DIV/0!</v>
      </c>
      <c r="G267" s="142"/>
      <c r="H267" s="417">
        <v>3110</v>
      </c>
      <c r="I267" s="201"/>
      <c r="J267" s="144"/>
      <c r="K267" s="144"/>
      <c r="L267" s="201"/>
      <c r="M267" s="144"/>
      <c r="N267" s="407"/>
      <c r="O267" s="201"/>
      <c r="P267" s="407"/>
      <c r="Q267" s="407"/>
      <c r="R267" s="407"/>
      <c r="S267" s="407"/>
      <c r="T267" s="407"/>
      <c r="U267" s="407"/>
      <c r="V267" s="407"/>
      <c r="W267" s="407"/>
      <c r="X267" s="407"/>
      <c r="Y267" s="407"/>
      <c r="Z267" s="201"/>
      <c r="AA267" s="407">
        <f t="shared" si="27"/>
        <v>0</v>
      </c>
      <c r="AC267" s="499"/>
      <c r="AD267" s="513"/>
      <c r="AE267" s="508"/>
      <c r="AF267" s="508"/>
      <c r="AG267" s="508"/>
      <c r="AH267" s="508"/>
    </row>
    <row r="268" spans="1:34" ht="15.75" customHeight="1" hidden="1">
      <c r="A268" s="585"/>
      <c r="B268" s="586"/>
      <c r="C268" s="664"/>
      <c r="D268" s="206" t="s">
        <v>2037</v>
      </c>
      <c r="E268" s="142"/>
      <c r="F268" s="143" t="e">
        <f t="shared" si="30"/>
        <v>#DIV/0!</v>
      </c>
      <c r="G268" s="142"/>
      <c r="H268" s="417">
        <v>3110</v>
      </c>
      <c r="I268" s="201"/>
      <c r="J268" s="144"/>
      <c r="K268" s="144"/>
      <c r="L268" s="201"/>
      <c r="M268" s="144"/>
      <c r="N268" s="407"/>
      <c r="O268" s="201"/>
      <c r="P268" s="407"/>
      <c r="Q268" s="407"/>
      <c r="R268" s="407"/>
      <c r="S268" s="407"/>
      <c r="T268" s="407"/>
      <c r="U268" s="407"/>
      <c r="V268" s="407"/>
      <c r="W268" s="407"/>
      <c r="X268" s="407"/>
      <c r="Y268" s="407"/>
      <c r="Z268" s="201"/>
      <c r="AA268" s="407">
        <f t="shared" si="27"/>
        <v>0</v>
      </c>
      <c r="AC268" s="499"/>
      <c r="AD268" s="513"/>
      <c r="AE268" s="508"/>
      <c r="AF268" s="508"/>
      <c r="AG268" s="508"/>
      <c r="AH268" s="508"/>
    </row>
    <row r="269" spans="1:34" ht="15.75" customHeight="1" hidden="1">
      <c r="A269" s="585"/>
      <c r="B269" s="586"/>
      <c r="C269" s="664"/>
      <c r="D269" s="206" t="s">
        <v>2038</v>
      </c>
      <c r="E269" s="142"/>
      <c r="F269" s="143" t="e">
        <f t="shared" si="30"/>
        <v>#DIV/0!</v>
      </c>
      <c r="G269" s="142"/>
      <c r="H269" s="417">
        <v>3110</v>
      </c>
      <c r="I269" s="201"/>
      <c r="J269" s="144"/>
      <c r="K269" s="144"/>
      <c r="L269" s="201"/>
      <c r="M269" s="144"/>
      <c r="N269" s="407"/>
      <c r="O269" s="201"/>
      <c r="P269" s="407"/>
      <c r="Q269" s="407"/>
      <c r="R269" s="407"/>
      <c r="S269" s="407"/>
      <c r="T269" s="407"/>
      <c r="U269" s="407"/>
      <c r="V269" s="407"/>
      <c r="W269" s="407"/>
      <c r="X269" s="407"/>
      <c r="Y269" s="407"/>
      <c r="Z269" s="201"/>
      <c r="AA269" s="407">
        <f t="shared" si="27"/>
        <v>0</v>
      </c>
      <c r="AC269" s="499"/>
      <c r="AD269" s="513"/>
      <c r="AE269" s="508"/>
      <c r="AF269" s="508"/>
      <c r="AG269" s="508"/>
      <c r="AH269" s="508"/>
    </row>
    <row r="270" spans="1:34" ht="31.5" customHeight="1" hidden="1">
      <c r="A270" s="585"/>
      <c r="B270" s="586"/>
      <c r="C270" s="664"/>
      <c r="D270" s="141" t="s">
        <v>1901</v>
      </c>
      <c r="E270" s="142"/>
      <c r="F270" s="143" t="e">
        <f t="shared" si="30"/>
        <v>#DIV/0!</v>
      </c>
      <c r="G270" s="142"/>
      <c r="H270" s="417">
        <v>3110</v>
      </c>
      <c r="I270" s="144">
        <v>0</v>
      </c>
      <c r="J270" s="144"/>
      <c r="K270" s="144"/>
      <c r="L270" s="144"/>
      <c r="M270" s="144"/>
      <c r="N270" s="407"/>
      <c r="O270" s="144">
        <v>0</v>
      </c>
      <c r="P270" s="407"/>
      <c r="Q270" s="407"/>
      <c r="R270" s="407"/>
      <c r="S270" s="407"/>
      <c r="T270" s="407"/>
      <c r="U270" s="407"/>
      <c r="V270" s="407"/>
      <c r="W270" s="407"/>
      <c r="X270" s="407"/>
      <c r="Y270" s="407"/>
      <c r="Z270" s="144">
        <v>0</v>
      </c>
      <c r="AA270" s="407">
        <f t="shared" si="27"/>
        <v>0</v>
      </c>
      <c r="AC270" s="499"/>
      <c r="AD270" s="513"/>
      <c r="AE270" s="508"/>
      <c r="AF270" s="508"/>
      <c r="AG270" s="508"/>
      <c r="AH270" s="508"/>
    </row>
    <row r="271" spans="1:34" ht="15.75" customHeight="1" hidden="1">
      <c r="A271" s="585"/>
      <c r="B271" s="586"/>
      <c r="C271" s="664"/>
      <c r="D271" s="198" t="s">
        <v>1902</v>
      </c>
      <c r="E271" s="142"/>
      <c r="F271" s="143" t="e">
        <f t="shared" si="30"/>
        <v>#DIV/0!</v>
      </c>
      <c r="G271" s="142"/>
      <c r="H271" s="417">
        <v>3110</v>
      </c>
      <c r="I271" s="201">
        <v>0</v>
      </c>
      <c r="J271" s="144"/>
      <c r="K271" s="144"/>
      <c r="L271" s="201"/>
      <c r="M271" s="144"/>
      <c r="N271" s="407"/>
      <c r="O271" s="201">
        <v>0</v>
      </c>
      <c r="P271" s="407"/>
      <c r="Q271" s="407"/>
      <c r="R271" s="407"/>
      <c r="S271" s="407"/>
      <c r="T271" s="407"/>
      <c r="U271" s="407"/>
      <c r="V271" s="407"/>
      <c r="W271" s="407"/>
      <c r="X271" s="407"/>
      <c r="Y271" s="407"/>
      <c r="Z271" s="201">
        <v>0</v>
      </c>
      <c r="AA271" s="407">
        <f t="shared" si="27"/>
        <v>0</v>
      </c>
      <c r="AC271" s="499"/>
      <c r="AD271" s="513"/>
      <c r="AE271" s="508"/>
      <c r="AF271" s="508"/>
      <c r="AG271" s="508"/>
      <c r="AH271" s="508"/>
    </row>
    <row r="272" spans="1:34" ht="15.75" customHeight="1" hidden="1">
      <c r="A272" s="585"/>
      <c r="B272" s="586"/>
      <c r="C272" s="664"/>
      <c r="D272" s="198" t="s">
        <v>1903</v>
      </c>
      <c r="E272" s="142"/>
      <c r="F272" s="143" t="e">
        <f t="shared" si="30"/>
        <v>#DIV/0!</v>
      </c>
      <c r="G272" s="142"/>
      <c r="H272" s="417">
        <v>3110</v>
      </c>
      <c r="I272" s="201">
        <v>0</v>
      </c>
      <c r="J272" s="144"/>
      <c r="K272" s="144"/>
      <c r="L272" s="201"/>
      <c r="M272" s="144"/>
      <c r="N272" s="407"/>
      <c r="O272" s="201">
        <v>0</v>
      </c>
      <c r="P272" s="407"/>
      <c r="Q272" s="407"/>
      <c r="R272" s="407"/>
      <c r="S272" s="407"/>
      <c r="T272" s="407"/>
      <c r="U272" s="407"/>
      <c r="V272" s="407"/>
      <c r="W272" s="407"/>
      <c r="X272" s="407"/>
      <c r="Y272" s="407"/>
      <c r="Z272" s="201">
        <v>0</v>
      </c>
      <c r="AA272" s="407">
        <f t="shared" si="27"/>
        <v>0</v>
      </c>
      <c r="AC272" s="499"/>
      <c r="AD272" s="513"/>
      <c r="AE272" s="508"/>
      <c r="AF272" s="508"/>
      <c r="AG272" s="508"/>
      <c r="AH272" s="508"/>
    </row>
    <row r="273" spans="1:34" ht="15.75" customHeight="1" hidden="1">
      <c r="A273" s="585"/>
      <c r="B273" s="586"/>
      <c r="C273" s="664"/>
      <c r="D273" s="198" t="s">
        <v>1904</v>
      </c>
      <c r="E273" s="142"/>
      <c r="F273" s="143" t="e">
        <f t="shared" si="30"/>
        <v>#DIV/0!</v>
      </c>
      <c r="G273" s="142"/>
      <c r="H273" s="417">
        <v>3110</v>
      </c>
      <c r="I273" s="201">
        <v>0</v>
      </c>
      <c r="J273" s="144"/>
      <c r="K273" s="144"/>
      <c r="L273" s="201"/>
      <c r="M273" s="144"/>
      <c r="N273" s="407"/>
      <c r="O273" s="201">
        <v>0</v>
      </c>
      <c r="P273" s="407"/>
      <c r="Q273" s="407"/>
      <c r="R273" s="407"/>
      <c r="S273" s="407"/>
      <c r="T273" s="407"/>
      <c r="U273" s="407"/>
      <c r="V273" s="407"/>
      <c r="W273" s="407"/>
      <c r="X273" s="407"/>
      <c r="Y273" s="407"/>
      <c r="Z273" s="201">
        <v>0</v>
      </c>
      <c r="AA273" s="407">
        <f t="shared" si="27"/>
        <v>0</v>
      </c>
      <c r="AC273" s="499"/>
      <c r="AD273" s="513"/>
      <c r="AE273" s="508"/>
      <c r="AF273" s="508"/>
      <c r="AG273" s="508"/>
      <c r="AH273" s="508"/>
    </row>
    <row r="274" spans="1:34" ht="15.75" customHeight="1" hidden="1">
      <c r="A274" s="585"/>
      <c r="B274" s="586"/>
      <c r="C274" s="664"/>
      <c r="D274" s="198" t="s">
        <v>1905</v>
      </c>
      <c r="E274" s="142"/>
      <c r="F274" s="143" t="e">
        <f t="shared" si="30"/>
        <v>#DIV/0!</v>
      </c>
      <c r="G274" s="142"/>
      <c r="H274" s="417">
        <v>3110</v>
      </c>
      <c r="I274" s="201">
        <v>0</v>
      </c>
      <c r="J274" s="144"/>
      <c r="K274" s="144"/>
      <c r="L274" s="201"/>
      <c r="M274" s="144"/>
      <c r="N274" s="407"/>
      <c r="O274" s="201">
        <v>0</v>
      </c>
      <c r="P274" s="407"/>
      <c r="Q274" s="407"/>
      <c r="R274" s="407"/>
      <c r="S274" s="407"/>
      <c r="T274" s="407"/>
      <c r="U274" s="407"/>
      <c r="V274" s="407"/>
      <c r="W274" s="407"/>
      <c r="X274" s="407"/>
      <c r="Y274" s="407"/>
      <c r="Z274" s="201">
        <v>0</v>
      </c>
      <c r="AA274" s="407">
        <f t="shared" si="27"/>
        <v>0</v>
      </c>
      <c r="AC274" s="499"/>
      <c r="AD274" s="513"/>
      <c r="AE274" s="508"/>
      <c r="AF274" s="508"/>
      <c r="AG274" s="508"/>
      <c r="AH274" s="508"/>
    </row>
    <row r="275" spans="1:34" ht="15.75" customHeight="1" hidden="1">
      <c r="A275" s="585"/>
      <c r="B275" s="586"/>
      <c r="C275" s="664"/>
      <c r="D275" s="198" t="s">
        <v>1906</v>
      </c>
      <c r="E275" s="142"/>
      <c r="F275" s="143" t="e">
        <f t="shared" si="30"/>
        <v>#DIV/0!</v>
      </c>
      <c r="G275" s="142"/>
      <c r="H275" s="417">
        <v>3110</v>
      </c>
      <c r="I275" s="201">
        <v>0</v>
      </c>
      <c r="J275" s="144"/>
      <c r="K275" s="144"/>
      <c r="L275" s="201"/>
      <c r="M275" s="144"/>
      <c r="N275" s="407"/>
      <c r="O275" s="201">
        <v>0</v>
      </c>
      <c r="P275" s="407"/>
      <c r="Q275" s="407"/>
      <c r="R275" s="407"/>
      <c r="S275" s="407"/>
      <c r="T275" s="407"/>
      <c r="U275" s="407"/>
      <c r="V275" s="407"/>
      <c r="W275" s="407"/>
      <c r="X275" s="407"/>
      <c r="Y275" s="407"/>
      <c r="Z275" s="201">
        <v>0</v>
      </c>
      <c r="AA275" s="407">
        <f t="shared" si="27"/>
        <v>0</v>
      </c>
      <c r="AC275" s="499"/>
      <c r="AD275" s="513"/>
      <c r="AE275" s="508"/>
      <c r="AF275" s="508"/>
      <c r="AG275" s="508"/>
      <c r="AH275" s="508"/>
    </row>
    <row r="276" spans="1:34" ht="15.75" customHeight="1" hidden="1">
      <c r="A276" s="585"/>
      <c r="B276" s="586"/>
      <c r="C276" s="664"/>
      <c r="D276" s="198" t="s">
        <v>1907</v>
      </c>
      <c r="E276" s="142"/>
      <c r="F276" s="143" t="e">
        <f t="shared" si="30"/>
        <v>#DIV/0!</v>
      </c>
      <c r="G276" s="142"/>
      <c r="H276" s="417">
        <v>3110</v>
      </c>
      <c r="I276" s="201">
        <v>0</v>
      </c>
      <c r="J276" s="144"/>
      <c r="K276" s="144"/>
      <c r="L276" s="201"/>
      <c r="M276" s="144"/>
      <c r="N276" s="407"/>
      <c r="O276" s="201">
        <v>0</v>
      </c>
      <c r="P276" s="407"/>
      <c r="Q276" s="407"/>
      <c r="R276" s="407"/>
      <c r="S276" s="407"/>
      <c r="T276" s="407"/>
      <c r="U276" s="407"/>
      <c r="V276" s="407"/>
      <c r="W276" s="407"/>
      <c r="X276" s="407"/>
      <c r="Y276" s="407"/>
      <c r="Z276" s="201">
        <v>0</v>
      </c>
      <c r="AA276" s="407">
        <f t="shared" si="27"/>
        <v>0</v>
      </c>
      <c r="AC276" s="499"/>
      <c r="AD276" s="513"/>
      <c r="AE276" s="508"/>
      <c r="AF276" s="508"/>
      <c r="AG276" s="508"/>
      <c r="AH276" s="508"/>
    </row>
    <row r="277" spans="1:34" ht="15.75" customHeight="1" hidden="1">
      <c r="A277" s="585"/>
      <c r="B277" s="586"/>
      <c r="C277" s="664"/>
      <c r="D277" s="198" t="s">
        <v>1908</v>
      </c>
      <c r="E277" s="142"/>
      <c r="F277" s="143" t="e">
        <f t="shared" si="30"/>
        <v>#DIV/0!</v>
      </c>
      <c r="G277" s="142"/>
      <c r="H277" s="417">
        <v>3110</v>
      </c>
      <c r="I277" s="201">
        <v>0</v>
      </c>
      <c r="J277" s="144"/>
      <c r="K277" s="144"/>
      <c r="L277" s="201"/>
      <c r="M277" s="144"/>
      <c r="N277" s="407"/>
      <c r="O277" s="201">
        <v>0</v>
      </c>
      <c r="P277" s="407"/>
      <c r="Q277" s="407"/>
      <c r="R277" s="407"/>
      <c r="S277" s="407"/>
      <c r="T277" s="407"/>
      <c r="U277" s="407"/>
      <c r="V277" s="407"/>
      <c r="W277" s="407"/>
      <c r="X277" s="407"/>
      <c r="Y277" s="407"/>
      <c r="Z277" s="201">
        <v>0</v>
      </c>
      <c r="AA277" s="407">
        <f t="shared" si="27"/>
        <v>0</v>
      </c>
      <c r="AC277" s="499"/>
      <c r="AD277" s="513"/>
      <c r="AE277" s="508"/>
      <c r="AF277" s="508"/>
      <c r="AG277" s="508"/>
      <c r="AH277" s="508"/>
    </row>
    <row r="278" spans="1:34" ht="15.75" customHeight="1" hidden="1">
      <c r="A278" s="585"/>
      <c r="B278" s="586"/>
      <c r="C278" s="664"/>
      <c r="D278" s="198" t="s">
        <v>1043</v>
      </c>
      <c r="E278" s="142"/>
      <c r="F278" s="143" t="e">
        <f t="shared" si="30"/>
        <v>#DIV/0!</v>
      </c>
      <c r="G278" s="142"/>
      <c r="H278" s="417">
        <v>3110</v>
      </c>
      <c r="I278" s="201">
        <v>0</v>
      </c>
      <c r="J278" s="144"/>
      <c r="K278" s="144"/>
      <c r="L278" s="201"/>
      <c r="M278" s="144"/>
      <c r="N278" s="407"/>
      <c r="O278" s="201">
        <v>0</v>
      </c>
      <c r="P278" s="407"/>
      <c r="Q278" s="407"/>
      <c r="R278" s="407"/>
      <c r="S278" s="407"/>
      <c r="T278" s="407"/>
      <c r="U278" s="407"/>
      <c r="V278" s="407"/>
      <c r="W278" s="407"/>
      <c r="X278" s="407"/>
      <c r="Y278" s="407"/>
      <c r="Z278" s="201">
        <v>0</v>
      </c>
      <c r="AA278" s="407">
        <f t="shared" si="27"/>
        <v>0</v>
      </c>
      <c r="AC278" s="499"/>
      <c r="AD278" s="513"/>
      <c r="AE278" s="508"/>
      <c r="AF278" s="508"/>
      <c r="AG278" s="508"/>
      <c r="AH278" s="508"/>
    </row>
    <row r="279" spans="1:34" ht="15.75" customHeight="1" hidden="1">
      <c r="A279" s="585"/>
      <c r="B279" s="586"/>
      <c r="C279" s="664"/>
      <c r="D279" s="198" t="s">
        <v>1081</v>
      </c>
      <c r="E279" s="142"/>
      <c r="F279" s="143" t="e">
        <f t="shared" si="30"/>
        <v>#DIV/0!</v>
      </c>
      <c r="G279" s="142"/>
      <c r="H279" s="417">
        <v>3110</v>
      </c>
      <c r="I279" s="201">
        <v>0</v>
      </c>
      <c r="J279" s="144"/>
      <c r="K279" s="144"/>
      <c r="L279" s="201"/>
      <c r="M279" s="144"/>
      <c r="N279" s="407"/>
      <c r="O279" s="201">
        <v>0</v>
      </c>
      <c r="P279" s="407"/>
      <c r="Q279" s="407"/>
      <c r="R279" s="407"/>
      <c r="S279" s="407"/>
      <c r="T279" s="407"/>
      <c r="U279" s="407"/>
      <c r="V279" s="407"/>
      <c r="W279" s="407"/>
      <c r="X279" s="407"/>
      <c r="Y279" s="407"/>
      <c r="Z279" s="201">
        <v>0</v>
      </c>
      <c r="AA279" s="407">
        <f t="shared" si="27"/>
        <v>0</v>
      </c>
      <c r="AC279" s="499"/>
      <c r="AD279" s="513"/>
      <c r="AE279" s="508"/>
      <c r="AF279" s="508"/>
      <c r="AG279" s="508"/>
      <c r="AH279" s="508"/>
    </row>
    <row r="280" spans="1:34" ht="15.75" customHeight="1" hidden="1">
      <c r="A280" s="585"/>
      <c r="B280" s="586"/>
      <c r="C280" s="664"/>
      <c r="D280" s="198" t="s">
        <v>1082</v>
      </c>
      <c r="E280" s="142"/>
      <c r="F280" s="143" t="e">
        <f t="shared" si="30"/>
        <v>#DIV/0!</v>
      </c>
      <c r="G280" s="142"/>
      <c r="H280" s="417">
        <v>3110</v>
      </c>
      <c r="I280" s="201">
        <v>0</v>
      </c>
      <c r="J280" s="144"/>
      <c r="K280" s="144"/>
      <c r="L280" s="201"/>
      <c r="M280" s="144"/>
      <c r="N280" s="407"/>
      <c r="O280" s="201">
        <v>0</v>
      </c>
      <c r="P280" s="407"/>
      <c r="Q280" s="407"/>
      <c r="R280" s="407"/>
      <c r="S280" s="407"/>
      <c r="T280" s="407"/>
      <c r="U280" s="407"/>
      <c r="V280" s="407"/>
      <c r="W280" s="407"/>
      <c r="X280" s="407"/>
      <c r="Y280" s="407"/>
      <c r="Z280" s="201">
        <v>0</v>
      </c>
      <c r="AA280" s="407">
        <f t="shared" si="27"/>
        <v>0</v>
      </c>
      <c r="AC280" s="499"/>
      <c r="AD280" s="513"/>
      <c r="AE280" s="508"/>
      <c r="AF280" s="508"/>
      <c r="AG280" s="508"/>
      <c r="AH280" s="508"/>
    </row>
    <row r="281" spans="1:34" ht="31.5" customHeight="1" hidden="1">
      <c r="A281" s="585"/>
      <c r="B281" s="586"/>
      <c r="C281" s="665"/>
      <c r="D281" s="198" t="s">
        <v>1083</v>
      </c>
      <c r="E281" s="142"/>
      <c r="F281" s="143" t="e">
        <f t="shared" si="30"/>
        <v>#DIV/0!</v>
      </c>
      <c r="G281" s="142"/>
      <c r="H281" s="417">
        <v>3110</v>
      </c>
      <c r="I281" s="201">
        <v>0</v>
      </c>
      <c r="J281" s="144"/>
      <c r="K281" s="144"/>
      <c r="L281" s="201"/>
      <c r="M281" s="144"/>
      <c r="N281" s="407"/>
      <c r="O281" s="201">
        <v>0</v>
      </c>
      <c r="P281" s="407"/>
      <c r="Q281" s="407"/>
      <c r="R281" s="407"/>
      <c r="S281" s="407"/>
      <c r="T281" s="407"/>
      <c r="U281" s="407"/>
      <c r="V281" s="407"/>
      <c r="W281" s="407"/>
      <c r="X281" s="407"/>
      <c r="Y281" s="407"/>
      <c r="Z281" s="201">
        <v>0</v>
      </c>
      <c r="AA281" s="407">
        <f aca="true" t="shared" si="31" ref="AA281:AA344">N281+O281+P281+Q281+R281+S281+T281+U281+V281+W281+X281-Z281</f>
        <v>0</v>
      </c>
      <c r="AC281" s="499"/>
      <c r="AD281" s="513"/>
      <c r="AE281" s="508"/>
      <c r="AF281" s="508"/>
      <c r="AG281" s="508"/>
      <c r="AH281" s="508"/>
    </row>
    <row r="282" spans="1:34" ht="15.75" customHeight="1" hidden="1">
      <c r="A282" s="585"/>
      <c r="B282" s="586"/>
      <c r="C282" s="212" t="s">
        <v>1084</v>
      </c>
      <c r="D282" s="141" t="s">
        <v>1085</v>
      </c>
      <c r="E282" s="142"/>
      <c r="F282" s="143"/>
      <c r="G282" s="142"/>
      <c r="H282" s="417">
        <v>3110</v>
      </c>
      <c r="I282" s="144">
        <v>0</v>
      </c>
      <c r="J282" s="144"/>
      <c r="K282" s="144"/>
      <c r="L282" s="144"/>
      <c r="M282" s="144"/>
      <c r="N282" s="407"/>
      <c r="O282" s="144">
        <v>0</v>
      </c>
      <c r="P282" s="407"/>
      <c r="Q282" s="407"/>
      <c r="R282" s="407"/>
      <c r="S282" s="407"/>
      <c r="T282" s="407"/>
      <c r="U282" s="407"/>
      <c r="V282" s="407"/>
      <c r="W282" s="407"/>
      <c r="X282" s="407"/>
      <c r="Y282" s="407"/>
      <c r="Z282" s="144">
        <v>0</v>
      </c>
      <c r="AA282" s="407">
        <f t="shared" si="31"/>
        <v>0</v>
      </c>
      <c r="AC282" s="499"/>
      <c r="AD282" s="513"/>
      <c r="AE282" s="508"/>
      <c r="AF282" s="508"/>
      <c r="AG282" s="508"/>
      <c r="AH282" s="508"/>
    </row>
    <row r="283" spans="1:34" ht="15.75" customHeight="1" hidden="1">
      <c r="A283" s="585"/>
      <c r="B283" s="586"/>
      <c r="C283" s="212"/>
      <c r="D283" s="141" t="s">
        <v>176</v>
      </c>
      <c r="E283" s="142"/>
      <c r="F283" s="143"/>
      <c r="G283" s="142"/>
      <c r="H283" s="417">
        <v>3110</v>
      </c>
      <c r="I283" s="144">
        <v>0</v>
      </c>
      <c r="J283" s="144"/>
      <c r="K283" s="144"/>
      <c r="L283" s="144"/>
      <c r="M283" s="144"/>
      <c r="N283" s="407"/>
      <c r="O283" s="144">
        <v>0</v>
      </c>
      <c r="P283" s="407"/>
      <c r="Q283" s="407"/>
      <c r="R283" s="407"/>
      <c r="S283" s="407"/>
      <c r="T283" s="407"/>
      <c r="U283" s="407"/>
      <c r="V283" s="407"/>
      <c r="W283" s="407"/>
      <c r="X283" s="407"/>
      <c r="Y283" s="407"/>
      <c r="Z283" s="144">
        <v>0</v>
      </c>
      <c r="AA283" s="407">
        <f t="shared" si="31"/>
        <v>0</v>
      </c>
      <c r="AC283" s="499"/>
      <c r="AD283" s="513"/>
      <c r="AE283" s="508"/>
      <c r="AF283" s="508"/>
      <c r="AG283" s="508"/>
      <c r="AH283" s="508"/>
    </row>
    <row r="284" spans="1:34" ht="16.5" customHeight="1">
      <c r="A284" s="585"/>
      <c r="B284" s="586"/>
      <c r="C284" s="212"/>
      <c r="D284" s="141" t="s">
        <v>1322</v>
      </c>
      <c r="E284" s="142"/>
      <c r="F284" s="143"/>
      <c r="G284" s="142"/>
      <c r="H284" s="417">
        <v>3110</v>
      </c>
      <c r="I284" s="144">
        <v>5500</v>
      </c>
      <c r="J284" s="144"/>
      <c r="K284" s="144"/>
      <c r="L284" s="144">
        <v>5500</v>
      </c>
      <c r="M284" s="144"/>
      <c r="N284" s="407"/>
      <c r="O284" s="144">
        <v>5500</v>
      </c>
      <c r="P284" s="407"/>
      <c r="Q284" s="407"/>
      <c r="R284" s="407"/>
      <c r="S284" s="407"/>
      <c r="T284" s="407"/>
      <c r="U284" s="407"/>
      <c r="V284" s="407"/>
      <c r="W284" s="407"/>
      <c r="X284" s="407"/>
      <c r="Y284" s="407"/>
      <c r="Z284" s="144">
        <v>5500</v>
      </c>
      <c r="AA284" s="407">
        <f t="shared" si="31"/>
        <v>0</v>
      </c>
      <c r="AC284" s="499"/>
      <c r="AD284" s="513">
        <v>5500</v>
      </c>
      <c r="AE284" s="508"/>
      <c r="AF284" s="508"/>
      <c r="AG284" s="508"/>
      <c r="AH284" s="508"/>
    </row>
    <row r="285" spans="1:34" ht="31.5">
      <c r="A285" s="585"/>
      <c r="B285" s="586"/>
      <c r="C285" s="212"/>
      <c r="D285" s="141" t="s">
        <v>1323</v>
      </c>
      <c r="E285" s="142"/>
      <c r="F285" s="143"/>
      <c r="G285" s="142"/>
      <c r="H285" s="417">
        <v>3110</v>
      </c>
      <c r="I285" s="144">
        <v>3000</v>
      </c>
      <c r="J285" s="144">
        <f>3-3</f>
        <v>0</v>
      </c>
      <c r="K285" s="144"/>
      <c r="L285" s="144">
        <v>3000</v>
      </c>
      <c r="M285" s="144"/>
      <c r="N285" s="407"/>
      <c r="O285" s="144">
        <v>3000</v>
      </c>
      <c r="P285" s="407"/>
      <c r="Q285" s="407"/>
      <c r="R285" s="407"/>
      <c r="S285" s="407"/>
      <c r="T285" s="407"/>
      <c r="U285" s="407"/>
      <c r="V285" s="407"/>
      <c r="W285" s="407"/>
      <c r="X285" s="407"/>
      <c r="Y285" s="407"/>
      <c r="Z285" s="144">
        <v>3000</v>
      </c>
      <c r="AA285" s="407">
        <f t="shared" si="31"/>
        <v>0</v>
      </c>
      <c r="AC285" s="499"/>
      <c r="AD285" s="513">
        <v>3000</v>
      </c>
      <c r="AE285" s="508"/>
      <c r="AF285" s="508"/>
      <c r="AG285" s="508"/>
      <c r="AH285" s="508"/>
    </row>
    <row r="286" spans="1:34" s="362" customFormat="1" ht="31.5">
      <c r="A286" s="585"/>
      <c r="B286" s="586"/>
      <c r="C286" s="212"/>
      <c r="D286" s="358" t="s">
        <v>1708</v>
      </c>
      <c r="E286" s="142"/>
      <c r="F286" s="143"/>
      <c r="G286" s="142"/>
      <c r="H286" s="417">
        <v>3132</v>
      </c>
      <c r="I286" s="144">
        <v>40200</v>
      </c>
      <c r="J286" s="144"/>
      <c r="K286" s="144"/>
      <c r="L286" s="49"/>
      <c r="M286" s="49">
        <v>40200</v>
      </c>
      <c r="N286" s="407"/>
      <c r="O286" s="407"/>
      <c r="P286" s="407"/>
      <c r="Q286" s="407"/>
      <c r="R286" s="407"/>
      <c r="S286" s="407"/>
      <c r="T286" s="407">
        <v>12060</v>
      </c>
      <c r="U286" s="407"/>
      <c r="V286" s="407">
        <v>28140</v>
      </c>
      <c r="W286" s="407"/>
      <c r="X286" s="407"/>
      <c r="Y286" s="407"/>
      <c r="Z286" s="407">
        <v>19700</v>
      </c>
      <c r="AA286" s="407">
        <f t="shared" si="31"/>
        <v>20500</v>
      </c>
      <c r="AC286" s="501"/>
      <c r="AD286" s="517">
        <v>40200</v>
      </c>
      <c r="AE286" s="506"/>
      <c r="AF286" s="506" t="s">
        <v>452</v>
      </c>
      <c r="AG286" s="506" t="s">
        <v>504</v>
      </c>
      <c r="AH286" s="506"/>
    </row>
    <row r="287" spans="1:34" s="362" customFormat="1" ht="31.5">
      <c r="A287" s="585"/>
      <c r="B287" s="586"/>
      <c r="C287" s="212"/>
      <c r="D287" s="363" t="s">
        <v>1709</v>
      </c>
      <c r="E287" s="142"/>
      <c r="F287" s="143"/>
      <c r="G287" s="142"/>
      <c r="H287" s="417">
        <v>3132</v>
      </c>
      <c r="I287" s="144">
        <v>385973</v>
      </c>
      <c r="J287" s="144"/>
      <c r="K287" s="144"/>
      <c r="L287" s="49"/>
      <c r="M287" s="49">
        <v>385973</v>
      </c>
      <c r="N287" s="407"/>
      <c r="O287" s="407"/>
      <c r="P287" s="407"/>
      <c r="Q287" s="407"/>
      <c r="R287" s="407"/>
      <c r="S287" s="407">
        <v>35300</v>
      </c>
      <c r="T287" s="407">
        <v>35000</v>
      </c>
      <c r="U287" s="407"/>
      <c r="V287" s="407">
        <f>116000-35300</f>
        <v>80700</v>
      </c>
      <c r="W287" s="407"/>
      <c r="X287" s="407">
        <v>160000</v>
      </c>
      <c r="Y287" s="407">
        <v>74973</v>
      </c>
      <c r="Z287" s="407">
        <v>10569.6</v>
      </c>
      <c r="AA287" s="407">
        <f t="shared" si="31"/>
        <v>300430.4</v>
      </c>
      <c r="AC287" s="501"/>
      <c r="AD287" s="517">
        <v>385973</v>
      </c>
      <c r="AE287" s="506"/>
      <c r="AF287" s="506" t="s">
        <v>453</v>
      </c>
      <c r="AG287" s="506" t="s">
        <v>504</v>
      </c>
      <c r="AH287" s="506"/>
    </row>
    <row r="288" spans="1:34" s="362" customFormat="1" ht="31.5">
      <c r="A288" s="585"/>
      <c r="B288" s="586"/>
      <c r="C288" s="212"/>
      <c r="D288" s="358" t="s">
        <v>1710</v>
      </c>
      <c r="E288" s="142"/>
      <c r="F288" s="143"/>
      <c r="G288" s="142"/>
      <c r="H288" s="417"/>
      <c r="I288" s="392">
        <f>I289+I290</f>
        <v>214200</v>
      </c>
      <c r="J288" s="392">
        <f aca="true" t="shared" si="32" ref="J288:Z288">J289+J290</f>
        <v>0</v>
      </c>
      <c r="K288" s="392">
        <f t="shared" si="32"/>
        <v>0</v>
      </c>
      <c r="L288" s="392">
        <f t="shared" si="32"/>
        <v>0</v>
      </c>
      <c r="M288" s="392">
        <f t="shared" si="32"/>
        <v>260000</v>
      </c>
      <c r="N288" s="392">
        <f t="shared" si="32"/>
        <v>0</v>
      </c>
      <c r="O288" s="392">
        <f t="shared" si="32"/>
        <v>0</v>
      </c>
      <c r="P288" s="392">
        <f t="shared" si="32"/>
        <v>0</v>
      </c>
      <c r="Q288" s="392">
        <f t="shared" si="32"/>
        <v>0</v>
      </c>
      <c r="R288" s="392">
        <f t="shared" si="32"/>
        <v>2500</v>
      </c>
      <c r="S288" s="392">
        <f t="shared" si="32"/>
        <v>84500</v>
      </c>
      <c r="T288" s="392">
        <f t="shared" si="32"/>
        <v>0</v>
      </c>
      <c r="U288" s="392">
        <f t="shared" si="32"/>
        <v>173000</v>
      </c>
      <c r="V288" s="392">
        <f t="shared" si="32"/>
        <v>0</v>
      </c>
      <c r="W288" s="392">
        <f t="shared" si="32"/>
        <v>-45800</v>
      </c>
      <c r="X288" s="392">
        <f t="shared" si="32"/>
        <v>0</v>
      </c>
      <c r="Y288" s="392">
        <f t="shared" si="32"/>
        <v>0</v>
      </c>
      <c r="Z288" s="392">
        <f t="shared" si="32"/>
        <v>11092.33</v>
      </c>
      <c r="AA288" s="407">
        <f t="shared" si="31"/>
        <v>203107.67</v>
      </c>
      <c r="AC288" s="501"/>
      <c r="AD288" s="517"/>
      <c r="AE288" s="506"/>
      <c r="AF288" s="506"/>
      <c r="AG288" s="506"/>
      <c r="AH288" s="506"/>
    </row>
    <row r="289" spans="1:34" s="366" customFormat="1" ht="15.75">
      <c r="A289" s="585"/>
      <c r="B289" s="586"/>
      <c r="C289" s="364"/>
      <c r="D289" s="365" t="s">
        <v>1711</v>
      </c>
      <c r="E289" s="199"/>
      <c r="F289" s="200"/>
      <c r="G289" s="199"/>
      <c r="H289" s="417">
        <v>3132</v>
      </c>
      <c r="I289" s="201">
        <v>30000</v>
      </c>
      <c r="J289" s="201"/>
      <c r="K289" s="201"/>
      <c r="L289" s="51"/>
      <c r="M289" s="51">
        <v>30000</v>
      </c>
      <c r="N289" s="465"/>
      <c r="O289" s="465"/>
      <c r="P289" s="465"/>
      <c r="Q289" s="465"/>
      <c r="R289" s="465">
        <v>1000</v>
      </c>
      <c r="S289" s="465">
        <v>11000</v>
      </c>
      <c r="T289" s="465"/>
      <c r="U289" s="465">
        <v>18000</v>
      </c>
      <c r="V289" s="465"/>
      <c r="W289" s="465"/>
      <c r="X289" s="465"/>
      <c r="Y289" s="465"/>
      <c r="Z289" s="465">
        <v>891.25</v>
      </c>
      <c r="AA289" s="407">
        <f t="shared" si="31"/>
        <v>29108.75</v>
      </c>
      <c r="AC289" s="502"/>
      <c r="AD289" s="517">
        <v>30000</v>
      </c>
      <c r="AE289" s="506"/>
      <c r="AF289" s="506" t="s">
        <v>454</v>
      </c>
      <c r="AG289" s="506" t="s">
        <v>495</v>
      </c>
      <c r="AH289" s="511"/>
    </row>
    <row r="290" spans="1:34" s="366" customFormat="1" ht="30">
      <c r="A290" s="585"/>
      <c r="B290" s="586"/>
      <c r="C290" s="364"/>
      <c r="D290" s="365" t="s">
        <v>1712</v>
      </c>
      <c r="E290" s="199"/>
      <c r="F290" s="200"/>
      <c r="G290" s="199"/>
      <c r="H290" s="417">
        <v>3132</v>
      </c>
      <c r="I290" s="201">
        <f>230000-45800</f>
        <v>184200</v>
      </c>
      <c r="J290" s="201"/>
      <c r="K290" s="201"/>
      <c r="L290" s="51"/>
      <c r="M290" s="51">
        <v>230000</v>
      </c>
      <c r="N290" s="465"/>
      <c r="O290" s="465"/>
      <c r="P290" s="465"/>
      <c r="Q290" s="465"/>
      <c r="R290" s="465">
        <v>1500</v>
      </c>
      <c r="S290" s="465">
        <v>73500</v>
      </c>
      <c r="T290" s="465"/>
      <c r="U290" s="465">
        <v>155000</v>
      </c>
      <c r="V290" s="465"/>
      <c r="W290" s="465">
        <v>-45800</v>
      </c>
      <c r="X290" s="465"/>
      <c r="Y290" s="465"/>
      <c r="Z290" s="465">
        <f>3060.32+7140.76</f>
        <v>10201.08</v>
      </c>
      <c r="AA290" s="407">
        <f t="shared" si="31"/>
        <v>173998.92</v>
      </c>
      <c r="AC290" s="502"/>
      <c r="AD290" s="518">
        <v>230000</v>
      </c>
      <c r="AE290" s="511"/>
      <c r="AF290" s="511" t="s">
        <v>455</v>
      </c>
      <c r="AG290" s="511" t="s">
        <v>495</v>
      </c>
      <c r="AH290" s="511"/>
    </row>
    <row r="291" spans="1:34" s="362" customFormat="1" ht="47.25">
      <c r="A291" s="585"/>
      <c r="B291" s="586"/>
      <c r="C291" s="212"/>
      <c r="D291" s="367" t="s">
        <v>642</v>
      </c>
      <c r="E291" s="142"/>
      <c r="F291" s="143"/>
      <c r="G291" s="142"/>
      <c r="H291" s="417">
        <v>3132</v>
      </c>
      <c r="I291" s="144">
        <v>130000</v>
      </c>
      <c r="J291" s="144"/>
      <c r="K291" s="144"/>
      <c r="L291" s="49"/>
      <c r="M291" s="49">
        <v>130000</v>
      </c>
      <c r="N291" s="407"/>
      <c r="O291" s="407"/>
      <c r="P291" s="407"/>
      <c r="Q291" s="407"/>
      <c r="R291" s="407">
        <v>1500</v>
      </c>
      <c r="S291" s="407">
        <v>43500</v>
      </c>
      <c r="T291" s="407"/>
      <c r="U291" s="407">
        <v>85000</v>
      </c>
      <c r="V291" s="407"/>
      <c r="W291" s="407"/>
      <c r="X291" s="407"/>
      <c r="Y291" s="407"/>
      <c r="Z291" s="407">
        <v>1472.88</v>
      </c>
      <c r="AA291" s="407">
        <f t="shared" si="31"/>
        <v>128527.12</v>
      </c>
      <c r="AC291" s="501"/>
      <c r="AD291" s="517">
        <v>130000</v>
      </c>
      <c r="AE291" s="506"/>
      <c r="AF291" s="506" t="s">
        <v>456</v>
      </c>
      <c r="AG291" s="506" t="s">
        <v>495</v>
      </c>
      <c r="AH291" s="506"/>
    </row>
    <row r="292" spans="1:34" s="362" customFormat="1" ht="15.75">
      <c r="A292" s="585"/>
      <c r="B292" s="586"/>
      <c r="C292" s="212"/>
      <c r="D292" s="367" t="s">
        <v>382</v>
      </c>
      <c r="E292" s="142"/>
      <c r="F292" s="143"/>
      <c r="G292" s="142"/>
      <c r="H292" s="417"/>
      <c r="I292" s="144">
        <f>I294+I295+I296+I297+I298+I299+I300+I301+I302+I303+I304+I305+I306+I293</f>
        <v>975000</v>
      </c>
      <c r="J292" s="144">
        <f aca="true" t="shared" si="33" ref="J292:Z292">J294+J295+J296+J297+J298+J299+J300+J301+J302+J303+J304+J305+J306+J293</f>
        <v>0</v>
      </c>
      <c r="K292" s="144">
        <f t="shared" si="33"/>
        <v>0</v>
      </c>
      <c r="L292" s="144">
        <f t="shared" si="33"/>
        <v>0</v>
      </c>
      <c r="M292" s="144">
        <f t="shared" si="33"/>
        <v>0</v>
      </c>
      <c r="N292" s="144">
        <f t="shared" si="33"/>
        <v>0</v>
      </c>
      <c r="O292" s="144">
        <f t="shared" si="33"/>
        <v>0</v>
      </c>
      <c r="P292" s="144">
        <f t="shared" si="33"/>
        <v>0</v>
      </c>
      <c r="Q292" s="144">
        <f t="shared" si="33"/>
        <v>0</v>
      </c>
      <c r="R292" s="144">
        <f t="shared" si="33"/>
        <v>0</v>
      </c>
      <c r="S292" s="144">
        <f t="shared" si="33"/>
        <v>0</v>
      </c>
      <c r="T292" s="144">
        <f t="shared" si="33"/>
        <v>0</v>
      </c>
      <c r="U292" s="144">
        <f t="shared" si="33"/>
        <v>440700</v>
      </c>
      <c r="V292" s="144">
        <f t="shared" si="33"/>
        <v>46300</v>
      </c>
      <c r="W292" s="144">
        <f t="shared" si="33"/>
        <v>307000</v>
      </c>
      <c r="X292" s="144">
        <f t="shared" si="33"/>
        <v>150000</v>
      </c>
      <c r="Y292" s="144">
        <f t="shared" si="33"/>
        <v>31000</v>
      </c>
      <c r="Z292" s="144">
        <f t="shared" si="33"/>
        <v>4472.4</v>
      </c>
      <c r="AA292" s="407">
        <f t="shared" si="31"/>
        <v>939527.6</v>
      </c>
      <c r="AC292" s="501"/>
      <c r="AD292" s="517"/>
      <c r="AE292" s="506"/>
      <c r="AF292" s="506"/>
      <c r="AG292" s="506"/>
      <c r="AH292" s="506"/>
    </row>
    <row r="293" spans="1:34" s="362" customFormat="1" ht="15.75" hidden="1">
      <c r="A293" s="585"/>
      <c r="B293" s="586"/>
      <c r="C293" s="212"/>
      <c r="D293" s="367"/>
      <c r="E293" s="142"/>
      <c r="F293" s="143"/>
      <c r="G293" s="142"/>
      <c r="H293" s="417"/>
      <c r="I293" s="144"/>
      <c r="J293" s="144"/>
      <c r="K293" s="144"/>
      <c r="L293" s="144"/>
      <c r="M293" s="144"/>
      <c r="N293" s="144"/>
      <c r="O293" s="144"/>
      <c r="P293" s="144"/>
      <c r="Q293" s="144"/>
      <c r="R293" s="144"/>
      <c r="S293" s="144"/>
      <c r="T293" s="144"/>
      <c r="U293" s="144">
        <v>440700</v>
      </c>
      <c r="V293" s="144">
        <v>46300</v>
      </c>
      <c r="W293" s="144">
        <v>-487000</v>
      </c>
      <c r="X293" s="144"/>
      <c r="Y293" s="144"/>
      <c r="Z293" s="144"/>
      <c r="AA293" s="407">
        <f t="shared" si="31"/>
        <v>0</v>
      </c>
      <c r="AC293" s="501"/>
      <c r="AD293" s="517"/>
      <c r="AE293" s="506"/>
      <c r="AF293" s="506"/>
      <c r="AG293" s="506"/>
      <c r="AH293" s="506"/>
    </row>
    <row r="294" spans="1:34" s="362" customFormat="1" ht="15.75">
      <c r="A294" s="585"/>
      <c r="B294" s="586"/>
      <c r="C294" s="212"/>
      <c r="D294" s="542" t="s">
        <v>383</v>
      </c>
      <c r="E294" s="142"/>
      <c r="F294" s="143"/>
      <c r="G294" s="142"/>
      <c r="H294" s="417">
        <v>3132</v>
      </c>
      <c r="I294" s="144">
        <v>95000</v>
      </c>
      <c r="J294" s="144"/>
      <c r="K294" s="144"/>
      <c r="L294" s="49"/>
      <c r="M294" s="49"/>
      <c r="N294" s="407"/>
      <c r="O294" s="407"/>
      <c r="P294" s="407"/>
      <c r="Q294" s="407"/>
      <c r="R294" s="407"/>
      <c r="S294" s="407"/>
      <c r="T294" s="407"/>
      <c r="U294" s="407"/>
      <c r="V294" s="407"/>
      <c r="W294" s="407">
        <v>95000</v>
      </c>
      <c r="X294" s="407"/>
      <c r="Y294" s="407"/>
      <c r="Z294" s="407"/>
      <c r="AA294" s="407">
        <f t="shared" si="31"/>
        <v>95000</v>
      </c>
      <c r="AC294" s="501"/>
      <c r="AD294" s="517"/>
      <c r="AE294" s="506"/>
      <c r="AF294" s="506"/>
      <c r="AG294" s="506"/>
      <c r="AH294" s="506"/>
    </row>
    <row r="295" spans="1:34" s="362" customFormat="1" ht="15.75">
      <c r="A295" s="585"/>
      <c r="B295" s="586"/>
      <c r="C295" s="212"/>
      <c r="D295" s="542" t="s">
        <v>384</v>
      </c>
      <c r="E295" s="142"/>
      <c r="F295" s="143"/>
      <c r="G295" s="142"/>
      <c r="H295" s="417">
        <v>3132</v>
      </c>
      <c r="I295" s="144">
        <v>95000</v>
      </c>
      <c r="J295" s="144"/>
      <c r="K295" s="144"/>
      <c r="L295" s="49"/>
      <c r="M295" s="49"/>
      <c r="N295" s="407"/>
      <c r="O295" s="407"/>
      <c r="P295" s="407"/>
      <c r="Q295" s="407"/>
      <c r="R295" s="407"/>
      <c r="S295" s="407"/>
      <c r="T295" s="407"/>
      <c r="U295" s="407"/>
      <c r="V295" s="407"/>
      <c r="W295" s="407">
        <v>95000</v>
      </c>
      <c r="X295" s="407"/>
      <c r="Y295" s="407"/>
      <c r="Z295" s="407"/>
      <c r="AA295" s="407">
        <f t="shared" si="31"/>
        <v>95000</v>
      </c>
      <c r="AC295" s="501"/>
      <c r="AD295" s="517"/>
      <c r="AE295" s="506"/>
      <c r="AF295" s="506"/>
      <c r="AG295" s="506"/>
      <c r="AH295" s="506"/>
    </row>
    <row r="296" spans="1:34" s="362" customFormat="1" ht="15.75">
      <c r="A296" s="585"/>
      <c r="B296" s="586"/>
      <c r="C296" s="212"/>
      <c r="D296" s="542" t="s">
        <v>385</v>
      </c>
      <c r="E296" s="142"/>
      <c r="F296" s="143"/>
      <c r="G296" s="142"/>
      <c r="H296" s="417">
        <v>3132</v>
      </c>
      <c r="I296" s="144">
        <v>95000</v>
      </c>
      <c r="J296" s="144"/>
      <c r="K296" s="144"/>
      <c r="L296" s="49"/>
      <c r="M296" s="49"/>
      <c r="N296" s="407"/>
      <c r="O296" s="407"/>
      <c r="P296" s="407"/>
      <c r="Q296" s="407"/>
      <c r="R296" s="407"/>
      <c r="S296" s="407"/>
      <c r="T296" s="407"/>
      <c r="U296" s="407"/>
      <c r="V296" s="407"/>
      <c r="W296" s="407">
        <v>95000</v>
      </c>
      <c r="X296" s="407"/>
      <c r="Y296" s="407"/>
      <c r="Z296" s="407"/>
      <c r="AA296" s="407">
        <f t="shared" si="31"/>
        <v>95000</v>
      </c>
      <c r="AC296" s="501"/>
      <c r="AD296" s="517"/>
      <c r="AE296" s="506"/>
      <c r="AF296" s="506"/>
      <c r="AG296" s="506"/>
      <c r="AH296" s="506"/>
    </row>
    <row r="297" spans="1:34" s="362" customFormat="1" ht="15.75">
      <c r="A297" s="585"/>
      <c r="B297" s="586"/>
      <c r="C297" s="212"/>
      <c r="D297" s="542" t="s">
        <v>386</v>
      </c>
      <c r="E297" s="142"/>
      <c r="F297" s="143"/>
      <c r="G297" s="142"/>
      <c r="H297" s="417">
        <v>3132</v>
      </c>
      <c r="I297" s="144">
        <v>95000</v>
      </c>
      <c r="J297" s="144"/>
      <c r="K297" s="144"/>
      <c r="L297" s="49"/>
      <c r="M297" s="49"/>
      <c r="N297" s="407"/>
      <c r="O297" s="407"/>
      <c r="P297" s="407"/>
      <c r="Q297" s="407"/>
      <c r="R297" s="407"/>
      <c r="S297" s="407"/>
      <c r="T297" s="407"/>
      <c r="U297" s="407"/>
      <c r="V297" s="407"/>
      <c r="W297" s="407">
        <v>95000</v>
      </c>
      <c r="X297" s="407"/>
      <c r="Y297" s="407"/>
      <c r="Z297" s="407"/>
      <c r="AA297" s="407">
        <f t="shared" si="31"/>
        <v>95000</v>
      </c>
      <c r="AC297" s="501"/>
      <c r="AD297" s="517"/>
      <c r="AE297" s="506"/>
      <c r="AF297" s="506"/>
      <c r="AG297" s="506"/>
      <c r="AH297" s="506"/>
    </row>
    <row r="298" spans="1:34" s="362" customFormat="1" ht="15.75">
      <c r="A298" s="585"/>
      <c r="B298" s="586"/>
      <c r="C298" s="212"/>
      <c r="D298" s="542" t="s">
        <v>387</v>
      </c>
      <c r="E298" s="142"/>
      <c r="F298" s="143"/>
      <c r="G298" s="142"/>
      <c r="H298" s="417">
        <v>3132</v>
      </c>
      <c r="I298" s="144">
        <v>30000</v>
      </c>
      <c r="J298" s="144"/>
      <c r="K298" s="144"/>
      <c r="L298" s="49"/>
      <c r="M298" s="49"/>
      <c r="N298" s="407"/>
      <c r="O298" s="407"/>
      <c r="P298" s="407"/>
      <c r="Q298" s="407"/>
      <c r="R298" s="407"/>
      <c r="S298" s="407"/>
      <c r="T298" s="407"/>
      <c r="U298" s="407"/>
      <c r="V298" s="407"/>
      <c r="W298" s="407">
        <v>30000</v>
      </c>
      <c r="X298" s="407"/>
      <c r="Y298" s="407"/>
      <c r="Z298" s="407"/>
      <c r="AA298" s="407">
        <f t="shared" si="31"/>
        <v>30000</v>
      </c>
      <c r="AC298" s="501"/>
      <c r="AD298" s="517"/>
      <c r="AE298" s="506"/>
      <c r="AF298" s="506"/>
      <c r="AG298" s="506"/>
      <c r="AH298" s="506"/>
    </row>
    <row r="299" spans="1:34" s="362" customFormat="1" ht="15.75">
      <c r="A299" s="585"/>
      <c r="B299" s="586"/>
      <c r="C299" s="212"/>
      <c r="D299" s="542" t="s">
        <v>388</v>
      </c>
      <c r="E299" s="142"/>
      <c r="F299" s="143"/>
      <c r="G299" s="142"/>
      <c r="H299" s="417">
        <v>3132</v>
      </c>
      <c r="I299" s="144">
        <v>95000</v>
      </c>
      <c r="J299" s="144"/>
      <c r="K299" s="144"/>
      <c r="L299" s="49"/>
      <c r="M299" s="49"/>
      <c r="N299" s="407"/>
      <c r="O299" s="407"/>
      <c r="P299" s="407"/>
      <c r="Q299" s="407"/>
      <c r="R299" s="407"/>
      <c r="S299" s="407"/>
      <c r="T299" s="407"/>
      <c r="U299" s="407"/>
      <c r="V299" s="407"/>
      <c r="W299" s="407">
        <v>95000</v>
      </c>
      <c r="X299" s="407"/>
      <c r="Y299" s="407"/>
      <c r="Z299" s="407">
        <v>4076.4</v>
      </c>
      <c r="AA299" s="407">
        <f t="shared" si="31"/>
        <v>90923.6</v>
      </c>
      <c r="AC299" s="501"/>
      <c r="AD299" s="517"/>
      <c r="AE299" s="506"/>
      <c r="AF299" s="506"/>
      <c r="AG299" s="506"/>
      <c r="AH299" s="506"/>
    </row>
    <row r="300" spans="1:34" s="362" customFormat="1" ht="15.75">
      <c r="A300" s="585"/>
      <c r="B300" s="586"/>
      <c r="C300" s="212"/>
      <c r="D300" s="542" t="s">
        <v>389</v>
      </c>
      <c r="E300" s="142"/>
      <c r="F300" s="143"/>
      <c r="G300" s="142"/>
      <c r="H300" s="417">
        <v>3132</v>
      </c>
      <c r="I300" s="144">
        <v>30000</v>
      </c>
      <c r="J300" s="144"/>
      <c r="K300" s="144"/>
      <c r="L300" s="49"/>
      <c r="M300" s="49"/>
      <c r="N300" s="407"/>
      <c r="O300" s="407"/>
      <c r="P300" s="407"/>
      <c r="Q300" s="407"/>
      <c r="R300" s="407"/>
      <c r="S300" s="407"/>
      <c r="T300" s="407"/>
      <c r="U300" s="407"/>
      <c r="V300" s="407"/>
      <c r="W300" s="407">
        <v>4000</v>
      </c>
      <c r="X300" s="407">
        <v>26000</v>
      </c>
      <c r="Y300" s="407"/>
      <c r="Z300" s="407"/>
      <c r="AA300" s="407">
        <f t="shared" si="31"/>
        <v>30000</v>
      </c>
      <c r="AC300" s="501"/>
      <c r="AD300" s="517"/>
      <c r="AE300" s="506"/>
      <c r="AF300" s="506"/>
      <c r="AG300" s="506"/>
      <c r="AH300" s="506"/>
    </row>
    <row r="301" spans="1:34" s="362" customFormat="1" ht="15.75">
      <c r="A301" s="585"/>
      <c r="B301" s="586"/>
      <c r="C301" s="212"/>
      <c r="D301" s="542" t="s">
        <v>390</v>
      </c>
      <c r="E301" s="142"/>
      <c r="F301" s="143"/>
      <c r="G301" s="142"/>
      <c r="H301" s="417">
        <v>3132</v>
      </c>
      <c r="I301" s="144">
        <v>30000</v>
      </c>
      <c r="J301" s="144"/>
      <c r="K301" s="144"/>
      <c r="L301" s="49"/>
      <c r="M301" s="49"/>
      <c r="N301" s="407"/>
      <c r="O301" s="407"/>
      <c r="P301" s="407"/>
      <c r="Q301" s="407"/>
      <c r="R301" s="407"/>
      <c r="S301" s="407"/>
      <c r="T301" s="407"/>
      <c r="U301" s="407"/>
      <c r="V301" s="407"/>
      <c r="W301" s="407"/>
      <c r="X301" s="407">
        <v>30000</v>
      </c>
      <c r="Y301" s="407"/>
      <c r="Z301" s="407">
        <v>396</v>
      </c>
      <c r="AA301" s="407">
        <f t="shared" si="31"/>
        <v>29604</v>
      </c>
      <c r="AC301" s="501"/>
      <c r="AD301" s="517"/>
      <c r="AE301" s="506"/>
      <c r="AF301" s="506"/>
      <c r="AG301" s="506"/>
      <c r="AH301" s="506"/>
    </row>
    <row r="302" spans="1:34" s="362" customFormat="1" ht="15.75">
      <c r="A302" s="585"/>
      <c r="B302" s="586"/>
      <c r="C302" s="212"/>
      <c r="D302" s="542" t="s">
        <v>391</v>
      </c>
      <c r="E302" s="142"/>
      <c r="F302" s="143"/>
      <c r="G302" s="142"/>
      <c r="H302" s="417">
        <v>3132</v>
      </c>
      <c r="I302" s="144">
        <v>95000</v>
      </c>
      <c r="J302" s="144"/>
      <c r="K302" s="144"/>
      <c r="L302" s="49"/>
      <c r="M302" s="49"/>
      <c r="N302" s="407"/>
      <c r="O302" s="407"/>
      <c r="P302" s="407"/>
      <c r="Q302" s="407"/>
      <c r="R302" s="407"/>
      <c r="S302" s="407"/>
      <c r="T302" s="407"/>
      <c r="U302" s="407"/>
      <c r="V302" s="407"/>
      <c r="W302" s="407">
        <v>95000</v>
      </c>
      <c r="X302" s="407"/>
      <c r="Y302" s="407"/>
      <c r="Z302" s="407"/>
      <c r="AA302" s="407">
        <f t="shared" si="31"/>
        <v>95000</v>
      </c>
      <c r="AC302" s="501"/>
      <c r="AD302" s="517"/>
      <c r="AE302" s="506"/>
      <c r="AF302" s="506"/>
      <c r="AG302" s="506"/>
      <c r="AH302" s="506"/>
    </row>
    <row r="303" spans="1:34" s="362" customFormat="1" ht="15.75">
      <c r="A303" s="585"/>
      <c r="B303" s="586"/>
      <c r="C303" s="212"/>
      <c r="D303" s="542" t="s">
        <v>392</v>
      </c>
      <c r="E303" s="142"/>
      <c r="F303" s="143"/>
      <c r="G303" s="142"/>
      <c r="H303" s="417">
        <v>3132</v>
      </c>
      <c r="I303" s="144">
        <v>30000</v>
      </c>
      <c r="J303" s="144"/>
      <c r="K303" s="144"/>
      <c r="L303" s="49"/>
      <c r="M303" s="49"/>
      <c r="N303" s="407"/>
      <c r="O303" s="407"/>
      <c r="P303" s="407"/>
      <c r="Q303" s="407"/>
      <c r="R303" s="407"/>
      <c r="S303" s="407"/>
      <c r="T303" s="407"/>
      <c r="U303" s="407"/>
      <c r="V303" s="407"/>
      <c r="W303" s="407"/>
      <c r="X303" s="407">
        <v>30000</v>
      </c>
      <c r="Y303" s="407"/>
      <c r="Z303" s="407"/>
      <c r="AA303" s="407">
        <f t="shared" si="31"/>
        <v>30000</v>
      </c>
      <c r="AC303" s="501"/>
      <c r="AD303" s="517"/>
      <c r="AE303" s="506"/>
      <c r="AF303" s="506"/>
      <c r="AG303" s="506"/>
      <c r="AH303" s="506"/>
    </row>
    <row r="304" spans="1:34" s="362" customFormat="1" ht="15.75">
      <c r="A304" s="585"/>
      <c r="B304" s="586"/>
      <c r="C304" s="212"/>
      <c r="D304" s="542" t="s">
        <v>393</v>
      </c>
      <c r="E304" s="142"/>
      <c r="F304" s="143"/>
      <c r="G304" s="142"/>
      <c r="H304" s="417">
        <v>3132</v>
      </c>
      <c r="I304" s="144">
        <v>95000</v>
      </c>
      <c r="J304" s="144"/>
      <c r="K304" s="144"/>
      <c r="L304" s="49"/>
      <c r="M304" s="49"/>
      <c r="N304" s="407"/>
      <c r="O304" s="407"/>
      <c r="P304" s="407"/>
      <c r="Q304" s="407"/>
      <c r="R304" s="407"/>
      <c r="S304" s="407"/>
      <c r="T304" s="407"/>
      <c r="U304" s="407"/>
      <c r="V304" s="407"/>
      <c r="W304" s="407">
        <v>95000</v>
      </c>
      <c r="X304" s="407"/>
      <c r="Y304" s="407"/>
      <c r="Z304" s="407"/>
      <c r="AA304" s="407">
        <f t="shared" si="31"/>
        <v>95000</v>
      </c>
      <c r="AC304" s="501"/>
      <c r="AD304" s="517"/>
      <c r="AE304" s="506"/>
      <c r="AF304" s="506"/>
      <c r="AG304" s="506"/>
      <c r="AH304" s="506"/>
    </row>
    <row r="305" spans="1:34" s="362" customFormat="1" ht="15.75">
      <c r="A305" s="585"/>
      <c r="B305" s="586"/>
      <c r="C305" s="212"/>
      <c r="D305" s="542" t="s">
        <v>394</v>
      </c>
      <c r="E305" s="142"/>
      <c r="F305" s="143"/>
      <c r="G305" s="142"/>
      <c r="H305" s="417">
        <v>3132</v>
      </c>
      <c r="I305" s="144">
        <v>95000</v>
      </c>
      <c r="J305" s="144"/>
      <c r="K305" s="144"/>
      <c r="L305" s="49"/>
      <c r="M305" s="49"/>
      <c r="N305" s="407"/>
      <c r="O305" s="407"/>
      <c r="P305" s="407"/>
      <c r="Q305" s="407"/>
      <c r="R305" s="407"/>
      <c r="S305" s="407"/>
      <c r="T305" s="407"/>
      <c r="U305" s="407"/>
      <c r="V305" s="407"/>
      <c r="W305" s="407">
        <v>95000</v>
      </c>
      <c r="X305" s="407"/>
      <c r="Y305" s="407"/>
      <c r="Z305" s="407"/>
      <c r="AA305" s="407">
        <f t="shared" si="31"/>
        <v>95000</v>
      </c>
      <c r="AC305" s="501"/>
      <c r="AD305" s="517"/>
      <c r="AE305" s="506"/>
      <c r="AF305" s="506"/>
      <c r="AG305" s="506"/>
      <c r="AH305" s="506"/>
    </row>
    <row r="306" spans="1:34" s="362" customFormat="1" ht="15.75">
      <c r="A306" s="585"/>
      <c r="B306" s="586"/>
      <c r="C306" s="212"/>
      <c r="D306" s="542" t="s">
        <v>395</v>
      </c>
      <c r="E306" s="142"/>
      <c r="F306" s="143"/>
      <c r="G306" s="142"/>
      <c r="H306" s="417">
        <v>3132</v>
      </c>
      <c r="I306" s="144">
        <v>95000</v>
      </c>
      <c r="J306" s="144"/>
      <c r="K306" s="144"/>
      <c r="L306" s="49"/>
      <c r="M306" s="49"/>
      <c r="N306" s="407"/>
      <c r="O306" s="407"/>
      <c r="P306" s="407"/>
      <c r="Q306" s="407"/>
      <c r="R306" s="407"/>
      <c r="S306" s="407"/>
      <c r="T306" s="407"/>
      <c r="U306" s="407"/>
      <c r="V306" s="407"/>
      <c r="W306" s="407"/>
      <c r="X306" s="407">
        <v>64000</v>
      </c>
      <c r="Y306" s="407">
        <v>31000</v>
      </c>
      <c r="Z306" s="407"/>
      <c r="AA306" s="407">
        <f t="shared" si="31"/>
        <v>64000</v>
      </c>
      <c r="AC306" s="501"/>
      <c r="AD306" s="517"/>
      <c r="AE306" s="506"/>
      <c r="AF306" s="506"/>
      <c r="AG306" s="506"/>
      <c r="AH306" s="506"/>
    </row>
    <row r="307" spans="1:34" s="362" customFormat="1" ht="47.25">
      <c r="A307" s="585"/>
      <c r="B307" s="586"/>
      <c r="C307" s="212"/>
      <c r="D307" s="359" t="s">
        <v>754</v>
      </c>
      <c r="E307" s="142"/>
      <c r="F307" s="143"/>
      <c r="G307" s="142"/>
      <c r="H307" s="417">
        <v>3132</v>
      </c>
      <c r="I307" s="144">
        <v>250000</v>
      </c>
      <c r="J307" s="144"/>
      <c r="K307" s="144"/>
      <c r="L307" s="49"/>
      <c r="M307" s="49">
        <v>250000</v>
      </c>
      <c r="N307" s="407"/>
      <c r="O307" s="407"/>
      <c r="P307" s="407"/>
      <c r="Q307" s="407"/>
      <c r="R307" s="407">
        <v>3000</v>
      </c>
      <c r="S307" s="407">
        <v>82000</v>
      </c>
      <c r="T307" s="407"/>
      <c r="U307" s="407">
        <v>165000</v>
      </c>
      <c r="V307" s="407"/>
      <c r="W307" s="407"/>
      <c r="X307" s="407"/>
      <c r="Y307" s="407"/>
      <c r="Z307" s="407">
        <f>3546.45+396-396+8275.04</f>
        <v>11821.49</v>
      </c>
      <c r="AA307" s="407">
        <f t="shared" si="31"/>
        <v>238178.51</v>
      </c>
      <c r="AC307" s="501"/>
      <c r="AD307" s="517">
        <v>250000</v>
      </c>
      <c r="AE307" s="506"/>
      <c r="AF307" s="506" t="s">
        <v>457</v>
      </c>
      <c r="AG307" s="506" t="s">
        <v>495</v>
      </c>
      <c r="AH307" s="506"/>
    </row>
    <row r="308" spans="1:34" s="362" customFormat="1" ht="31.5">
      <c r="A308" s="585"/>
      <c r="B308" s="586"/>
      <c r="C308" s="212"/>
      <c r="D308" s="359" t="s">
        <v>155</v>
      </c>
      <c r="E308" s="142"/>
      <c r="F308" s="143"/>
      <c r="G308" s="142"/>
      <c r="H308" s="417">
        <v>3132</v>
      </c>
      <c r="I308" s="144">
        <v>1302457</v>
      </c>
      <c r="J308" s="144"/>
      <c r="K308" s="144"/>
      <c r="L308" s="49"/>
      <c r="M308" s="49"/>
      <c r="N308" s="407"/>
      <c r="O308" s="407"/>
      <c r="P308" s="407"/>
      <c r="Q308" s="407"/>
      <c r="R308" s="407"/>
      <c r="S308" s="407"/>
      <c r="T308" s="407"/>
      <c r="U308" s="407">
        <v>1302457</v>
      </c>
      <c r="V308" s="407"/>
      <c r="W308" s="407"/>
      <c r="X308" s="407"/>
      <c r="Y308" s="407"/>
      <c r="Z308" s="407"/>
      <c r="AA308" s="407">
        <f t="shared" si="31"/>
        <v>1302457</v>
      </c>
      <c r="AC308" s="501"/>
      <c r="AD308" s="517"/>
      <c r="AE308" s="506"/>
      <c r="AF308" s="506"/>
      <c r="AG308" s="506"/>
      <c r="AH308" s="506"/>
    </row>
    <row r="309" spans="1:34" s="362" customFormat="1" ht="31.5">
      <c r="A309" s="585"/>
      <c r="B309" s="586"/>
      <c r="C309" s="212"/>
      <c r="D309" s="359" t="s">
        <v>154</v>
      </c>
      <c r="E309" s="142"/>
      <c r="F309" s="143"/>
      <c r="G309" s="142"/>
      <c r="H309" s="417">
        <v>3132</v>
      </c>
      <c r="I309" s="144">
        <f>157854+16000</f>
        <v>173854</v>
      </c>
      <c r="J309" s="144"/>
      <c r="K309" s="144"/>
      <c r="L309" s="49"/>
      <c r="M309" s="49"/>
      <c r="N309" s="407"/>
      <c r="O309" s="407"/>
      <c r="P309" s="407"/>
      <c r="Q309" s="407"/>
      <c r="R309" s="407"/>
      <c r="S309" s="407"/>
      <c r="T309" s="407"/>
      <c r="U309" s="407">
        <v>157854</v>
      </c>
      <c r="V309" s="407"/>
      <c r="W309" s="407">
        <v>16000</v>
      </c>
      <c r="X309" s="407"/>
      <c r="Y309" s="407"/>
      <c r="Z309" s="407">
        <v>83422.8</v>
      </c>
      <c r="AA309" s="407">
        <f t="shared" si="31"/>
        <v>90431.2</v>
      </c>
      <c r="AC309" s="501"/>
      <c r="AD309" s="517"/>
      <c r="AE309" s="506"/>
      <c r="AF309" s="506"/>
      <c r="AG309" s="506"/>
      <c r="AH309" s="506"/>
    </row>
    <row r="310" spans="1:34" s="362" customFormat="1" ht="31.5">
      <c r="A310" s="585"/>
      <c r="B310" s="586"/>
      <c r="C310" s="212"/>
      <c r="D310" s="359" t="s">
        <v>435</v>
      </c>
      <c r="E310" s="142"/>
      <c r="F310" s="143"/>
      <c r="G310" s="142"/>
      <c r="H310" s="417">
        <v>3132</v>
      </c>
      <c r="I310" s="144">
        <f>140000-130000</f>
        <v>10000</v>
      </c>
      <c r="J310" s="144"/>
      <c r="K310" s="144"/>
      <c r="L310" s="49"/>
      <c r="M310" s="49">
        <v>140000</v>
      </c>
      <c r="N310" s="407"/>
      <c r="O310" s="407"/>
      <c r="P310" s="407"/>
      <c r="Q310" s="407"/>
      <c r="R310" s="407">
        <v>3000</v>
      </c>
      <c r="S310" s="407">
        <v>47000</v>
      </c>
      <c r="T310" s="407"/>
      <c r="U310" s="407">
        <f>90000-130000</f>
        <v>-40000</v>
      </c>
      <c r="V310" s="407"/>
      <c r="W310" s="407"/>
      <c r="X310" s="407"/>
      <c r="Y310" s="407"/>
      <c r="Z310" s="407"/>
      <c r="AA310" s="407">
        <f t="shared" si="31"/>
        <v>10000</v>
      </c>
      <c r="AC310" s="501"/>
      <c r="AD310" s="517">
        <v>140000</v>
      </c>
      <c r="AE310" s="506"/>
      <c r="AF310" s="506" t="s">
        <v>458</v>
      </c>
      <c r="AG310" s="506" t="s">
        <v>495</v>
      </c>
      <c r="AH310" s="506"/>
    </row>
    <row r="311" spans="1:34" s="362" customFormat="1" ht="47.25" hidden="1">
      <c r="A311" s="585"/>
      <c r="B311" s="586"/>
      <c r="C311" s="212"/>
      <c r="D311" s="359" t="s">
        <v>1216</v>
      </c>
      <c r="E311" s="142"/>
      <c r="F311" s="143"/>
      <c r="G311" s="142"/>
      <c r="H311" s="417">
        <v>3132</v>
      </c>
      <c r="I311" s="144">
        <f>70000-70000</f>
        <v>0</v>
      </c>
      <c r="J311" s="144"/>
      <c r="K311" s="144"/>
      <c r="L311" s="49"/>
      <c r="M311" s="49">
        <v>70000</v>
      </c>
      <c r="N311" s="407"/>
      <c r="O311" s="407"/>
      <c r="P311" s="407"/>
      <c r="Q311" s="407"/>
      <c r="R311" s="407">
        <v>15000</v>
      </c>
      <c r="S311" s="407">
        <v>35000</v>
      </c>
      <c r="T311" s="407"/>
      <c r="U311" s="407">
        <v>-50000</v>
      </c>
      <c r="V311" s="407"/>
      <c r="W311" s="407"/>
      <c r="X311" s="407">
        <f>20000-20000</f>
        <v>0</v>
      </c>
      <c r="Y311" s="407"/>
      <c r="Z311" s="407"/>
      <c r="AA311" s="407">
        <f t="shared" si="31"/>
        <v>0</v>
      </c>
      <c r="AC311" s="501"/>
      <c r="AD311" s="517">
        <v>70000</v>
      </c>
      <c r="AE311" s="506"/>
      <c r="AF311" s="506"/>
      <c r="AG311" s="506"/>
      <c r="AH311" s="506"/>
    </row>
    <row r="312" spans="1:34" s="362" customFormat="1" ht="15.75">
      <c r="A312" s="585"/>
      <c r="B312" s="586"/>
      <c r="C312" s="212"/>
      <c r="D312" s="361" t="s">
        <v>237</v>
      </c>
      <c r="E312" s="142"/>
      <c r="F312" s="143"/>
      <c r="G312" s="142"/>
      <c r="H312" s="417"/>
      <c r="I312" s="391">
        <f>SUM(I313:I318)</f>
        <v>1222228.5</v>
      </c>
      <c r="J312" s="391">
        <f aca="true" t="shared" si="34" ref="J312:Z312">SUM(J313:J318)</f>
        <v>0</v>
      </c>
      <c r="K312" s="391">
        <f t="shared" si="34"/>
        <v>0</v>
      </c>
      <c r="L312" s="391">
        <f t="shared" si="34"/>
        <v>0</v>
      </c>
      <c r="M312" s="391">
        <f t="shared" si="34"/>
        <v>1238728.5</v>
      </c>
      <c r="N312" s="391">
        <f t="shared" si="34"/>
        <v>0</v>
      </c>
      <c r="O312" s="391">
        <f t="shared" si="34"/>
        <v>0</v>
      </c>
      <c r="P312" s="391">
        <f t="shared" si="34"/>
        <v>0</v>
      </c>
      <c r="Q312" s="391">
        <f t="shared" si="34"/>
        <v>0</v>
      </c>
      <c r="R312" s="391">
        <f t="shared" si="34"/>
        <v>107500</v>
      </c>
      <c r="S312" s="391">
        <f t="shared" si="34"/>
        <v>196500</v>
      </c>
      <c r="T312" s="391">
        <f t="shared" si="34"/>
        <v>211117</v>
      </c>
      <c r="U312" s="391">
        <f t="shared" si="34"/>
        <v>504123</v>
      </c>
      <c r="V312" s="391">
        <f t="shared" si="34"/>
        <v>179488.5</v>
      </c>
      <c r="W312" s="391">
        <f t="shared" si="34"/>
        <v>-6500</v>
      </c>
      <c r="X312" s="391">
        <f t="shared" si="34"/>
        <v>30000</v>
      </c>
      <c r="Y312" s="391">
        <f t="shared" si="34"/>
        <v>0</v>
      </c>
      <c r="Z312" s="391">
        <f t="shared" si="34"/>
        <v>372079.11</v>
      </c>
      <c r="AA312" s="407">
        <f t="shared" si="31"/>
        <v>850149.39</v>
      </c>
      <c r="AC312" s="501"/>
      <c r="AD312" s="517"/>
      <c r="AE312" s="506"/>
      <c r="AF312" s="506"/>
      <c r="AG312" s="506"/>
      <c r="AH312" s="506"/>
    </row>
    <row r="313" spans="1:34" s="366" customFormat="1" ht="15.75">
      <c r="A313" s="585"/>
      <c r="B313" s="586"/>
      <c r="C313" s="364"/>
      <c r="D313" s="385" t="s">
        <v>1261</v>
      </c>
      <c r="E313" s="199"/>
      <c r="F313" s="200"/>
      <c r="G313" s="199"/>
      <c r="H313" s="417">
        <v>3132</v>
      </c>
      <c r="I313" s="201">
        <v>102088.5</v>
      </c>
      <c r="J313" s="201"/>
      <c r="K313" s="201"/>
      <c r="L313" s="51"/>
      <c r="M313" s="51">
        <v>102088.5</v>
      </c>
      <c r="N313" s="465"/>
      <c r="O313" s="465"/>
      <c r="P313" s="465"/>
      <c r="Q313" s="465"/>
      <c r="R313" s="465"/>
      <c r="S313" s="465"/>
      <c r="T313" s="465"/>
      <c r="U313" s="465">
        <v>31000</v>
      </c>
      <c r="V313" s="465">
        <v>41088.5</v>
      </c>
      <c r="W313" s="465"/>
      <c r="X313" s="465">
        <v>30000</v>
      </c>
      <c r="Y313" s="465"/>
      <c r="Z313" s="465">
        <v>29803.2</v>
      </c>
      <c r="AA313" s="407">
        <f t="shared" si="31"/>
        <v>72285.3</v>
      </c>
      <c r="AC313" s="502"/>
      <c r="AD313" s="518">
        <v>102088.5</v>
      </c>
      <c r="AE313" s="511"/>
      <c r="AF313" s="511" t="s">
        <v>459</v>
      </c>
      <c r="AG313" s="511" t="s">
        <v>504</v>
      </c>
      <c r="AH313" s="511"/>
    </row>
    <row r="314" spans="1:34" s="366" customFormat="1" ht="30">
      <c r="A314" s="585"/>
      <c r="B314" s="586"/>
      <c r="C314" s="364"/>
      <c r="D314" s="385" t="s">
        <v>1262</v>
      </c>
      <c r="E314" s="199"/>
      <c r="F314" s="200"/>
      <c r="G314" s="199"/>
      <c r="H314" s="417">
        <v>3132</v>
      </c>
      <c r="I314" s="201">
        <v>158117</v>
      </c>
      <c r="J314" s="201"/>
      <c r="K314" s="201"/>
      <c r="L314" s="51"/>
      <c r="M314" s="51">
        <v>158117</v>
      </c>
      <c r="N314" s="465"/>
      <c r="O314" s="465"/>
      <c r="P314" s="465"/>
      <c r="Q314" s="465"/>
      <c r="R314" s="465">
        <v>4500</v>
      </c>
      <c r="S314" s="465">
        <v>58500</v>
      </c>
      <c r="T314" s="465">
        <v>95117</v>
      </c>
      <c r="U314" s="465"/>
      <c r="V314" s="465"/>
      <c r="W314" s="465"/>
      <c r="X314" s="465"/>
      <c r="Y314" s="465"/>
      <c r="Z314" s="465">
        <f>1963.83+4582.28</f>
        <v>6546.11</v>
      </c>
      <c r="AA314" s="407">
        <f t="shared" si="31"/>
        <v>151570.89</v>
      </c>
      <c r="AC314" s="502"/>
      <c r="AD314" s="518">
        <v>158117</v>
      </c>
      <c r="AE314" s="511"/>
      <c r="AF314" s="511" t="s">
        <v>460</v>
      </c>
      <c r="AG314" s="511" t="s">
        <v>495</v>
      </c>
      <c r="AH314" s="511"/>
    </row>
    <row r="315" spans="1:34" s="366" customFormat="1" ht="15.75">
      <c r="A315" s="585"/>
      <c r="B315" s="586"/>
      <c r="C315" s="364"/>
      <c r="D315" s="385" t="s">
        <v>1263</v>
      </c>
      <c r="E315" s="199"/>
      <c r="F315" s="200"/>
      <c r="G315" s="199"/>
      <c r="H315" s="417">
        <v>3132</v>
      </c>
      <c r="I315" s="201">
        <v>198400</v>
      </c>
      <c r="J315" s="201"/>
      <c r="K315" s="201"/>
      <c r="L315" s="51"/>
      <c r="M315" s="51">
        <v>198400</v>
      </c>
      <c r="N315" s="465"/>
      <c r="O315" s="465"/>
      <c r="P315" s="465"/>
      <c r="Q315" s="465"/>
      <c r="R315" s="465"/>
      <c r="S315" s="465"/>
      <c r="T315" s="465">
        <v>60000</v>
      </c>
      <c r="U315" s="465"/>
      <c r="V315" s="465">
        <v>138400</v>
      </c>
      <c r="W315" s="465"/>
      <c r="X315" s="465"/>
      <c r="Y315" s="465"/>
      <c r="Z315" s="465">
        <v>59788.8</v>
      </c>
      <c r="AA315" s="407">
        <f t="shared" si="31"/>
        <v>138611.2</v>
      </c>
      <c r="AC315" s="502"/>
      <c r="AD315" s="518">
        <v>198400</v>
      </c>
      <c r="AE315" s="511"/>
      <c r="AF315" s="511" t="s">
        <v>461</v>
      </c>
      <c r="AG315" s="511" t="s">
        <v>504</v>
      </c>
      <c r="AH315" s="511"/>
    </row>
    <row r="316" spans="1:34" s="366" customFormat="1" ht="15.75">
      <c r="A316" s="585"/>
      <c r="B316" s="586"/>
      <c r="C316" s="364"/>
      <c r="D316" s="385" t="s">
        <v>1056</v>
      </c>
      <c r="E316" s="199"/>
      <c r="F316" s="200"/>
      <c r="G316" s="199"/>
      <c r="H316" s="417">
        <v>3132</v>
      </c>
      <c r="I316" s="201">
        <v>339738</v>
      </c>
      <c r="J316" s="201"/>
      <c r="K316" s="201"/>
      <c r="L316" s="51"/>
      <c r="M316" s="51">
        <v>339738</v>
      </c>
      <c r="N316" s="465"/>
      <c r="O316" s="465"/>
      <c r="P316" s="465"/>
      <c r="Q316" s="465"/>
      <c r="R316" s="465">
        <v>101000</v>
      </c>
      <c r="S316" s="465"/>
      <c r="T316" s="465">
        <v>56000</v>
      </c>
      <c r="U316" s="465">
        <f>238738-56000</f>
        <v>182738</v>
      </c>
      <c r="V316" s="465"/>
      <c r="W316" s="465"/>
      <c r="X316" s="465"/>
      <c r="Y316" s="465"/>
      <c r="Z316" s="465">
        <f>156000+116879</f>
        <v>272879</v>
      </c>
      <c r="AA316" s="407">
        <f t="shared" si="31"/>
        <v>66859</v>
      </c>
      <c r="AC316" s="502"/>
      <c r="AD316" s="518">
        <v>339738</v>
      </c>
      <c r="AE316" s="511"/>
      <c r="AF316" s="511" t="s">
        <v>462</v>
      </c>
      <c r="AG316" s="511" t="s">
        <v>504</v>
      </c>
      <c r="AH316" s="511"/>
    </row>
    <row r="317" spans="1:34" s="366" customFormat="1" ht="30">
      <c r="A317" s="585"/>
      <c r="B317" s="586"/>
      <c r="C317" s="364"/>
      <c r="D317" s="385" t="s">
        <v>1264</v>
      </c>
      <c r="E317" s="199"/>
      <c r="F317" s="200"/>
      <c r="G317" s="199"/>
      <c r="H317" s="417">
        <v>3132</v>
      </c>
      <c r="I317" s="201">
        <f>20000-16500</f>
        <v>3500</v>
      </c>
      <c r="J317" s="201"/>
      <c r="K317" s="201"/>
      <c r="L317" s="51"/>
      <c r="M317" s="51">
        <v>20000</v>
      </c>
      <c r="N317" s="465"/>
      <c r="O317" s="465"/>
      <c r="P317" s="465"/>
      <c r="Q317" s="465"/>
      <c r="R317" s="465">
        <v>2000</v>
      </c>
      <c r="S317" s="465">
        <v>8000</v>
      </c>
      <c r="T317" s="465"/>
      <c r="U317" s="465"/>
      <c r="V317" s="465"/>
      <c r="W317" s="465">
        <v>-6500</v>
      </c>
      <c r="X317" s="465">
        <f>10000-10000</f>
        <v>0</v>
      </c>
      <c r="Y317" s="465"/>
      <c r="Z317" s="465">
        <f>918.6+2143.4</f>
        <v>3062</v>
      </c>
      <c r="AA317" s="407">
        <f t="shared" si="31"/>
        <v>438</v>
      </c>
      <c r="AC317" s="502"/>
      <c r="AD317" s="518">
        <v>20000</v>
      </c>
      <c r="AE317" s="511"/>
      <c r="AF317" s="511" t="s">
        <v>463</v>
      </c>
      <c r="AG317" s="511" t="s">
        <v>495</v>
      </c>
      <c r="AH317" s="511"/>
    </row>
    <row r="318" spans="1:34" s="366" customFormat="1" ht="15.75">
      <c r="A318" s="585"/>
      <c r="B318" s="586"/>
      <c r="C318" s="364"/>
      <c r="D318" s="385" t="s">
        <v>1057</v>
      </c>
      <c r="E318" s="199"/>
      <c r="F318" s="200"/>
      <c r="G318" s="199"/>
      <c r="H318" s="417">
        <v>3132</v>
      </c>
      <c r="I318" s="201">
        <v>420385</v>
      </c>
      <c r="J318" s="201"/>
      <c r="K318" s="201"/>
      <c r="L318" s="51"/>
      <c r="M318" s="51">
        <v>420385</v>
      </c>
      <c r="N318" s="465"/>
      <c r="O318" s="465"/>
      <c r="P318" s="465"/>
      <c r="Q318" s="465"/>
      <c r="R318" s="465"/>
      <c r="S318" s="465">
        <v>130000</v>
      </c>
      <c r="T318" s="465"/>
      <c r="U318" s="465">
        <v>290385</v>
      </c>
      <c r="V318" s="465"/>
      <c r="W318" s="465"/>
      <c r="X318" s="465"/>
      <c r="Y318" s="465"/>
      <c r="Z318" s="465"/>
      <c r="AA318" s="407">
        <f t="shared" si="31"/>
        <v>420385</v>
      </c>
      <c r="AC318" s="502"/>
      <c r="AD318" s="518">
        <v>420385</v>
      </c>
      <c r="AE318" s="511"/>
      <c r="AF318" s="511" t="s">
        <v>464</v>
      </c>
      <c r="AG318" s="511" t="s">
        <v>504</v>
      </c>
      <c r="AH318" s="511"/>
    </row>
    <row r="319" spans="1:34" s="362" customFormat="1" ht="31.5">
      <c r="A319" s="585"/>
      <c r="B319" s="586"/>
      <c r="C319" s="212"/>
      <c r="D319" s="358" t="s">
        <v>522</v>
      </c>
      <c r="E319" s="142"/>
      <c r="F319" s="143"/>
      <c r="G319" s="142"/>
      <c r="H319" s="417"/>
      <c r="I319" s="393">
        <f>I320+I321+I322+I323</f>
        <v>1375600</v>
      </c>
      <c r="J319" s="393">
        <f aca="true" t="shared" si="35" ref="J319:Z319">J320+J321+J322+J323</f>
        <v>0</v>
      </c>
      <c r="K319" s="393">
        <f t="shared" si="35"/>
        <v>0</v>
      </c>
      <c r="L319" s="393">
        <f t="shared" si="35"/>
        <v>0</v>
      </c>
      <c r="M319" s="393">
        <f t="shared" si="35"/>
        <v>1395600</v>
      </c>
      <c r="N319" s="393">
        <f t="shared" si="35"/>
        <v>0</v>
      </c>
      <c r="O319" s="393">
        <f t="shared" si="35"/>
        <v>0</v>
      </c>
      <c r="P319" s="393">
        <f t="shared" si="35"/>
        <v>0</v>
      </c>
      <c r="Q319" s="393">
        <f t="shared" si="35"/>
        <v>0</v>
      </c>
      <c r="R319" s="393">
        <f t="shared" si="35"/>
        <v>106680</v>
      </c>
      <c r="S319" s="393">
        <f t="shared" si="35"/>
        <v>99000</v>
      </c>
      <c r="T319" s="393">
        <f t="shared" si="35"/>
        <v>135000</v>
      </c>
      <c r="U319" s="393">
        <f t="shared" si="35"/>
        <v>250000</v>
      </c>
      <c r="V319" s="393">
        <f t="shared" si="35"/>
        <v>363000</v>
      </c>
      <c r="W319" s="393">
        <f t="shared" si="35"/>
        <v>-20000</v>
      </c>
      <c r="X319" s="393">
        <f t="shared" si="35"/>
        <v>305000</v>
      </c>
      <c r="Y319" s="393">
        <f t="shared" si="35"/>
        <v>136920</v>
      </c>
      <c r="Z319" s="393">
        <f t="shared" si="35"/>
        <v>183093.75</v>
      </c>
      <c r="AA319" s="407">
        <f t="shared" si="31"/>
        <v>1055586.25</v>
      </c>
      <c r="AC319" s="501"/>
      <c r="AD319" s="517"/>
      <c r="AE319" s="506"/>
      <c r="AF319" s="506"/>
      <c r="AG319" s="506"/>
      <c r="AH319" s="506"/>
    </row>
    <row r="320" spans="1:34" s="366" customFormat="1" ht="30">
      <c r="A320" s="585"/>
      <c r="B320" s="586"/>
      <c r="C320" s="364"/>
      <c r="D320" s="386" t="s">
        <v>523</v>
      </c>
      <c r="E320" s="199"/>
      <c r="F320" s="200"/>
      <c r="G320" s="199"/>
      <c r="H320" s="417">
        <v>3132</v>
      </c>
      <c r="I320" s="201">
        <v>850000</v>
      </c>
      <c r="J320" s="201"/>
      <c r="K320" s="201"/>
      <c r="L320" s="51"/>
      <c r="M320" s="51">
        <v>850000</v>
      </c>
      <c r="N320" s="465"/>
      <c r="O320" s="465"/>
      <c r="P320" s="465"/>
      <c r="Q320" s="465"/>
      <c r="R320" s="465">
        <v>9000</v>
      </c>
      <c r="S320" s="465">
        <v>21000</v>
      </c>
      <c r="T320" s="465"/>
      <c r="U320" s="465">
        <v>250000</v>
      </c>
      <c r="V320" s="465">
        <v>285000</v>
      </c>
      <c r="W320" s="465"/>
      <c r="X320" s="465">
        <v>285000</v>
      </c>
      <c r="Y320" s="465"/>
      <c r="Z320" s="465">
        <v>8583.75</v>
      </c>
      <c r="AA320" s="407">
        <f t="shared" si="31"/>
        <v>841416.25</v>
      </c>
      <c r="AC320" s="502"/>
      <c r="AD320" s="518">
        <v>850000</v>
      </c>
      <c r="AE320" s="511"/>
      <c r="AF320" s="511" t="s">
        <v>465</v>
      </c>
      <c r="AG320" s="511" t="s">
        <v>495</v>
      </c>
      <c r="AH320" s="511"/>
    </row>
    <row r="321" spans="1:34" s="366" customFormat="1" ht="15.75">
      <c r="A321" s="585"/>
      <c r="B321" s="586"/>
      <c r="C321" s="364"/>
      <c r="D321" s="386" t="s">
        <v>524</v>
      </c>
      <c r="E321" s="199"/>
      <c r="F321" s="200"/>
      <c r="G321" s="199"/>
      <c r="H321" s="417">
        <v>3132</v>
      </c>
      <c r="I321" s="201">
        <v>295600</v>
      </c>
      <c r="J321" s="201"/>
      <c r="K321" s="201"/>
      <c r="L321" s="51"/>
      <c r="M321" s="51">
        <v>295600</v>
      </c>
      <c r="N321" s="465"/>
      <c r="O321" s="465"/>
      <c r="P321" s="465"/>
      <c r="Q321" s="465"/>
      <c r="R321" s="465">
        <v>88680</v>
      </c>
      <c r="S321" s="465"/>
      <c r="T321" s="465">
        <v>70000</v>
      </c>
      <c r="U321" s="465"/>
      <c r="V321" s="465">
        <v>70000</v>
      </c>
      <c r="W321" s="465"/>
      <c r="X321" s="465"/>
      <c r="Y321" s="465">
        <v>66920</v>
      </c>
      <c r="Z321" s="465">
        <f>73680+2000+13200</f>
        <v>88880</v>
      </c>
      <c r="AA321" s="407">
        <f t="shared" si="31"/>
        <v>139800</v>
      </c>
      <c r="AC321" s="502"/>
      <c r="AD321" s="518">
        <v>295600</v>
      </c>
      <c r="AE321" s="511"/>
      <c r="AF321" s="511" t="s">
        <v>466</v>
      </c>
      <c r="AG321" s="511" t="s">
        <v>504</v>
      </c>
      <c r="AH321" s="511"/>
    </row>
    <row r="322" spans="1:34" s="366" customFormat="1" ht="15.75">
      <c r="A322" s="585"/>
      <c r="B322" s="586"/>
      <c r="C322" s="364"/>
      <c r="D322" s="386" t="s">
        <v>525</v>
      </c>
      <c r="E322" s="199"/>
      <c r="F322" s="200"/>
      <c r="G322" s="199"/>
      <c r="H322" s="417">
        <v>3132</v>
      </c>
      <c r="I322" s="201">
        <v>200000</v>
      </c>
      <c r="J322" s="201"/>
      <c r="K322" s="201"/>
      <c r="L322" s="51"/>
      <c r="M322" s="51">
        <v>200000</v>
      </c>
      <c r="N322" s="465"/>
      <c r="O322" s="465"/>
      <c r="P322" s="465"/>
      <c r="Q322" s="465"/>
      <c r="R322" s="465"/>
      <c r="S322" s="465">
        <v>57000</v>
      </c>
      <c r="T322" s="465">
        <v>65000</v>
      </c>
      <c r="U322" s="465"/>
      <c r="V322" s="465">
        <f>65000-57000</f>
        <v>8000</v>
      </c>
      <c r="W322" s="465"/>
      <c r="X322" s="465"/>
      <c r="Y322" s="465">
        <v>70000</v>
      </c>
      <c r="Z322" s="465">
        <f>57000+1050</f>
        <v>58050</v>
      </c>
      <c r="AA322" s="407">
        <f t="shared" si="31"/>
        <v>71950</v>
      </c>
      <c r="AC322" s="502"/>
      <c r="AD322" s="518">
        <v>200000</v>
      </c>
      <c r="AE322" s="511"/>
      <c r="AF322" s="511" t="s">
        <v>467</v>
      </c>
      <c r="AG322" s="511" t="s">
        <v>504</v>
      </c>
      <c r="AH322" s="511"/>
    </row>
    <row r="323" spans="1:34" s="366" customFormat="1" ht="30">
      <c r="A323" s="585"/>
      <c r="B323" s="586"/>
      <c r="C323" s="364"/>
      <c r="D323" s="386" t="s">
        <v>557</v>
      </c>
      <c r="E323" s="199"/>
      <c r="F323" s="200"/>
      <c r="G323" s="199"/>
      <c r="H323" s="417">
        <v>3132</v>
      </c>
      <c r="I323" s="201">
        <f>50000-20000</f>
        <v>30000</v>
      </c>
      <c r="J323" s="201"/>
      <c r="K323" s="201"/>
      <c r="L323" s="51"/>
      <c r="M323" s="51">
        <v>50000</v>
      </c>
      <c r="N323" s="465"/>
      <c r="O323" s="465"/>
      <c r="P323" s="465"/>
      <c r="Q323" s="465"/>
      <c r="R323" s="465">
        <v>9000</v>
      </c>
      <c r="S323" s="465">
        <v>21000</v>
      </c>
      <c r="T323" s="465"/>
      <c r="U323" s="465"/>
      <c r="V323" s="465"/>
      <c r="W323" s="465">
        <v>-20000</v>
      </c>
      <c r="X323" s="465">
        <v>20000</v>
      </c>
      <c r="Y323" s="465"/>
      <c r="Z323" s="465">
        <f>8274+19306</f>
        <v>27580</v>
      </c>
      <c r="AA323" s="407">
        <f t="shared" si="31"/>
        <v>2420</v>
      </c>
      <c r="AC323" s="502"/>
      <c r="AD323" s="518">
        <v>50000</v>
      </c>
      <c r="AE323" s="511"/>
      <c r="AF323" s="511" t="s">
        <v>468</v>
      </c>
      <c r="AG323" s="511" t="s">
        <v>495</v>
      </c>
      <c r="AH323" s="511"/>
    </row>
    <row r="324" spans="1:34" s="362" customFormat="1" ht="31.5">
      <c r="A324" s="585"/>
      <c r="B324" s="586"/>
      <c r="C324" s="212"/>
      <c r="D324" s="358" t="s">
        <v>1572</v>
      </c>
      <c r="E324" s="142"/>
      <c r="F324" s="143"/>
      <c r="G324" s="142"/>
      <c r="H324" s="417">
        <v>3132</v>
      </c>
      <c r="I324" s="144">
        <f>50000-35000</f>
        <v>15000</v>
      </c>
      <c r="J324" s="144"/>
      <c r="K324" s="144"/>
      <c r="L324" s="49"/>
      <c r="M324" s="49">
        <v>50000</v>
      </c>
      <c r="N324" s="407"/>
      <c r="O324" s="407"/>
      <c r="P324" s="407"/>
      <c r="Q324" s="407"/>
      <c r="R324" s="407">
        <v>4500</v>
      </c>
      <c r="S324" s="407">
        <v>10500</v>
      </c>
      <c r="T324" s="407">
        <v>10500</v>
      </c>
      <c r="U324" s="407">
        <v>24500</v>
      </c>
      <c r="V324" s="407"/>
      <c r="W324" s="407">
        <v>-35000</v>
      </c>
      <c r="X324" s="407"/>
      <c r="Y324" s="407"/>
      <c r="Z324" s="407">
        <v>4146</v>
      </c>
      <c r="AA324" s="407">
        <f t="shared" si="31"/>
        <v>10854</v>
      </c>
      <c r="AC324" s="501"/>
      <c r="AD324" s="517">
        <v>50000</v>
      </c>
      <c r="AE324" s="506"/>
      <c r="AF324" s="506" t="s">
        <v>469</v>
      </c>
      <c r="AG324" s="506" t="s">
        <v>495</v>
      </c>
      <c r="AH324" s="506"/>
    </row>
    <row r="325" spans="1:34" s="362" customFormat="1" ht="31.5">
      <c r="A325" s="585"/>
      <c r="B325" s="586"/>
      <c r="C325" s="212"/>
      <c r="D325" s="14" t="s">
        <v>1557</v>
      </c>
      <c r="E325" s="142"/>
      <c r="F325" s="143"/>
      <c r="G325" s="142"/>
      <c r="H325" s="417">
        <v>3132</v>
      </c>
      <c r="I325" s="144">
        <v>100000</v>
      </c>
      <c r="J325" s="144"/>
      <c r="K325" s="144"/>
      <c r="L325" s="49"/>
      <c r="M325" s="49">
        <v>100000</v>
      </c>
      <c r="N325" s="407"/>
      <c r="O325" s="407"/>
      <c r="P325" s="407"/>
      <c r="Q325" s="407"/>
      <c r="R325" s="407">
        <v>4500</v>
      </c>
      <c r="S325" s="407">
        <v>10500</v>
      </c>
      <c r="T325" s="407"/>
      <c r="U325" s="407">
        <v>30000</v>
      </c>
      <c r="V325" s="407"/>
      <c r="W325" s="407">
        <v>55000</v>
      </c>
      <c r="X325" s="407"/>
      <c r="Y325" s="407"/>
      <c r="Z325" s="407">
        <f>4500+10500</f>
        <v>15000</v>
      </c>
      <c r="AA325" s="407">
        <f t="shared" si="31"/>
        <v>85000</v>
      </c>
      <c r="AC325" s="501"/>
      <c r="AD325" s="517">
        <v>100000</v>
      </c>
      <c r="AE325" s="506"/>
      <c r="AF325" s="506" t="s">
        <v>470</v>
      </c>
      <c r="AG325" s="506" t="s">
        <v>504</v>
      </c>
      <c r="AH325" s="506"/>
    </row>
    <row r="326" spans="1:34" s="362" customFormat="1" ht="31.5">
      <c r="A326" s="585"/>
      <c r="B326" s="586"/>
      <c r="C326" s="212"/>
      <c r="D326" s="14" t="s">
        <v>1558</v>
      </c>
      <c r="E326" s="142"/>
      <c r="F326" s="143"/>
      <c r="G326" s="142"/>
      <c r="H326" s="417">
        <v>3132</v>
      </c>
      <c r="I326" s="144">
        <v>350000</v>
      </c>
      <c r="J326" s="144"/>
      <c r="K326" s="144"/>
      <c r="L326" s="49"/>
      <c r="M326" s="49">
        <v>350000</v>
      </c>
      <c r="N326" s="407"/>
      <c r="O326" s="407"/>
      <c r="P326" s="407"/>
      <c r="Q326" s="407"/>
      <c r="R326" s="407">
        <v>4500</v>
      </c>
      <c r="S326" s="407">
        <v>110500</v>
      </c>
      <c r="T326" s="407"/>
      <c r="U326" s="407">
        <v>100000</v>
      </c>
      <c r="V326" s="407"/>
      <c r="W326" s="407">
        <f>135000-23000</f>
        <v>112000</v>
      </c>
      <c r="X326" s="407"/>
      <c r="Y326" s="407">
        <v>23000</v>
      </c>
      <c r="Z326" s="407">
        <f>4500+10500+9674</f>
        <v>24674</v>
      </c>
      <c r="AA326" s="407">
        <f t="shared" si="31"/>
        <v>302326</v>
      </c>
      <c r="AC326" s="501"/>
      <c r="AD326" s="517">
        <v>350000</v>
      </c>
      <c r="AE326" s="506"/>
      <c r="AF326" s="506" t="s">
        <v>1850</v>
      </c>
      <c r="AG326" s="506" t="s">
        <v>504</v>
      </c>
      <c r="AH326" s="506"/>
    </row>
    <row r="327" spans="1:34" s="362" customFormat="1" ht="31.5" hidden="1">
      <c r="A327" s="585"/>
      <c r="B327" s="586"/>
      <c r="C327" s="212"/>
      <c r="D327" s="358" t="s">
        <v>274</v>
      </c>
      <c r="E327" s="142"/>
      <c r="F327" s="143"/>
      <c r="G327" s="142"/>
      <c r="H327" s="417">
        <v>3132</v>
      </c>
      <c r="I327" s="144">
        <f>300000-300000</f>
        <v>0</v>
      </c>
      <c r="J327" s="144"/>
      <c r="K327" s="144"/>
      <c r="L327" s="49"/>
      <c r="M327" s="49">
        <v>300000</v>
      </c>
      <c r="N327" s="407"/>
      <c r="O327" s="407"/>
      <c r="P327" s="407"/>
      <c r="Q327" s="407"/>
      <c r="R327" s="407"/>
      <c r="S327" s="407"/>
      <c r="T327" s="407">
        <v>100000</v>
      </c>
      <c r="U327" s="407">
        <v>-34800</v>
      </c>
      <c r="V327" s="407">
        <v>200000</v>
      </c>
      <c r="W327" s="407">
        <v>34800</v>
      </c>
      <c r="X327" s="407">
        <v>-300000</v>
      </c>
      <c r="Y327" s="407"/>
      <c r="Z327" s="407"/>
      <c r="AA327" s="407">
        <f t="shared" si="31"/>
        <v>0</v>
      </c>
      <c r="AC327" s="501"/>
      <c r="AD327" s="517">
        <v>300000</v>
      </c>
      <c r="AE327" s="506"/>
      <c r="AF327" s="506" t="s">
        <v>1851</v>
      </c>
      <c r="AG327" s="506" t="s">
        <v>504</v>
      </c>
      <c r="AH327" s="506"/>
    </row>
    <row r="328" spans="1:34" s="362" customFormat="1" ht="31.5">
      <c r="A328" s="585"/>
      <c r="B328" s="586"/>
      <c r="C328" s="212"/>
      <c r="D328" s="358" t="s">
        <v>275</v>
      </c>
      <c r="E328" s="142"/>
      <c r="F328" s="143"/>
      <c r="G328" s="142"/>
      <c r="H328" s="417">
        <v>3132</v>
      </c>
      <c r="I328" s="144">
        <v>140000</v>
      </c>
      <c r="J328" s="144"/>
      <c r="K328" s="144"/>
      <c r="L328" s="49"/>
      <c r="M328" s="49">
        <v>140000</v>
      </c>
      <c r="N328" s="407"/>
      <c r="O328" s="407"/>
      <c r="P328" s="407"/>
      <c r="Q328" s="407"/>
      <c r="R328" s="407">
        <v>2000</v>
      </c>
      <c r="S328" s="407">
        <v>4000</v>
      </c>
      <c r="T328" s="407">
        <v>40000</v>
      </c>
      <c r="U328" s="407"/>
      <c r="V328" s="407">
        <v>94000</v>
      </c>
      <c r="W328" s="407"/>
      <c r="X328" s="407"/>
      <c r="Y328" s="407"/>
      <c r="Z328" s="407">
        <f>1743+4067</f>
        <v>5810</v>
      </c>
      <c r="AA328" s="407">
        <f t="shared" si="31"/>
        <v>134190</v>
      </c>
      <c r="AC328" s="501"/>
      <c r="AD328" s="517">
        <v>140000</v>
      </c>
      <c r="AE328" s="506"/>
      <c r="AF328" s="506" t="s">
        <v>1852</v>
      </c>
      <c r="AG328" s="506" t="s">
        <v>495</v>
      </c>
      <c r="AH328" s="506"/>
    </row>
    <row r="329" spans="1:34" s="362" customFormat="1" ht="15.75">
      <c r="A329" s="585"/>
      <c r="B329" s="586"/>
      <c r="C329" s="212"/>
      <c r="D329" s="358" t="s">
        <v>276</v>
      </c>
      <c r="E329" s="142"/>
      <c r="F329" s="143"/>
      <c r="G329" s="142"/>
      <c r="H329" s="417"/>
      <c r="I329" s="394">
        <f>SUM(I330:I334)</f>
        <v>230000</v>
      </c>
      <c r="J329" s="394">
        <f aca="true" t="shared" si="36" ref="J329:Z329">SUM(J330:J334)</f>
        <v>0</v>
      </c>
      <c r="K329" s="394">
        <f t="shared" si="36"/>
        <v>0</v>
      </c>
      <c r="L329" s="394">
        <f t="shared" si="36"/>
        <v>0</v>
      </c>
      <c r="M329" s="394">
        <f t="shared" si="36"/>
        <v>230000</v>
      </c>
      <c r="N329" s="394">
        <f t="shared" si="36"/>
        <v>0</v>
      </c>
      <c r="O329" s="394">
        <f t="shared" si="36"/>
        <v>0</v>
      </c>
      <c r="P329" s="394">
        <f t="shared" si="36"/>
        <v>0</v>
      </c>
      <c r="Q329" s="394">
        <f t="shared" si="36"/>
        <v>0</v>
      </c>
      <c r="R329" s="394">
        <f t="shared" si="36"/>
        <v>18000</v>
      </c>
      <c r="S329" s="394">
        <f t="shared" si="36"/>
        <v>82000</v>
      </c>
      <c r="T329" s="394">
        <f t="shared" si="36"/>
        <v>0</v>
      </c>
      <c r="U329" s="394">
        <f t="shared" si="36"/>
        <v>90000</v>
      </c>
      <c r="V329" s="394">
        <f t="shared" si="36"/>
        <v>0</v>
      </c>
      <c r="W329" s="394">
        <f t="shared" si="36"/>
        <v>0</v>
      </c>
      <c r="X329" s="394">
        <f t="shared" si="36"/>
        <v>40000</v>
      </c>
      <c r="Y329" s="394">
        <f t="shared" si="36"/>
        <v>0</v>
      </c>
      <c r="Z329" s="394">
        <f t="shared" si="36"/>
        <v>41917.9</v>
      </c>
      <c r="AA329" s="407">
        <f t="shared" si="31"/>
        <v>188082.1</v>
      </c>
      <c r="AC329" s="501"/>
      <c r="AD329" s="517"/>
      <c r="AE329" s="506"/>
      <c r="AF329" s="506"/>
      <c r="AG329" s="506"/>
      <c r="AH329" s="506"/>
    </row>
    <row r="330" spans="1:34" s="366" customFormat="1" ht="30">
      <c r="A330" s="585"/>
      <c r="B330" s="586"/>
      <c r="C330" s="364"/>
      <c r="D330" s="386" t="s">
        <v>277</v>
      </c>
      <c r="E330" s="199"/>
      <c r="F330" s="200"/>
      <c r="G330" s="199"/>
      <c r="H330" s="417">
        <v>3132</v>
      </c>
      <c r="I330" s="201">
        <v>130000</v>
      </c>
      <c r="J330" s="201"/>
      <c r="K330" s="201"/>
      <c r="L330" s="51"/>
      <c r="M330" s="51">
        <v>130000</v>
      </c>
      <c r="N330" s="465"/>
      <c r="O330" s="465"/>
      <c r="P330" s="465"/>
      <c r="Q330" s="465"/>
      <c r="R330" s="465"/>
      <c r="S330" s="465">
        <v>40000</v>
      </c>
      <c r="T330" s="465"/>
      <c r="U330" s="465">
        <v>90000</v>
      </c>
      <c r="V330" s="465"/>
      <c r="W330" s="465"/>
      <c r="X330" s="465"/>
      <c r="Y330" s="465"/>
      <c r="Z330" s="465"/>
      <c r="AA330" s="407">
        <f t="shared" si="31"/>
        <v>130000</v>
      </c>
      <c r="AC330" s="502"/>
      <c r="AD330" s="518">
        <v>130000</v>
      </c>
      <c r="AE330" s="511"/>
      <c r="AF330" s="511" t="s">
        <v>1853</v>
      </c>
      <c r="AG330" s="511" t="s">
        <v>504</v>
      </c>
      <c r="AH330" s="511"/>
    </row>
    <row r="331" spans="1:34" s="366" customFormat="1" ht="30">
      <c r="A331" s="585"/>
      <c r="B331" s="586"/>
      <c r="C331" s="364"/>
      <c r="D331" s="386" t="s">
        <v>278</v>
      </c>
      <c r="E331" s="199"/>
      <c r="F331" s="200"/>
      <c r="G331" s="199"/>
      <c r="H331" s="417">
        <v>3132</v>
      </c>
      <c r="I331" s="201">
        <v>25000</v>
      </c>
      <c r="J331" s="201"/>
      <c r="K331" s="201"/>
      <c r="L331" s="51"/>
      <c r="M331" s="51">
        <v>25000</v>
      </c>
      <c r="N331" s="465"/>
      <c r="O331" s="465"/>
      <c r="P331" s="465"/>
      <c r="Q331" s="465"/>
      <c r="R331" s="465">
        <v>4500</v>
      </c>
      <c r="S331" s="465">
        <v>10500</v>
      </c>
      <c r="T331" s="465"/>
      <c r="U331" s="465"/>
      <c r="V331" s="465"/>
      <c r="W331" s="465"/>
      <c r="X331" s="465">
        <v>10000</v>
      </c>
      <c r="Y331" s="465"/>
      <c r="Z331" s="465">
        <f>2321.46+5416.75+5082.54</f>
        <v>12820.75</v>
      </c>
      <c r="AA331" s="407">
        <f t="shared" si="31"/>
        <v>12179.25</v>
      </c>
      <c r="AC331" s="502"/>
      <c r="AD331" s="518">
        <v>25000</v>
      </c>
      <c r="AE331" s="511"/>
      <c r="AF331" s="511" t="s">
        <v>1854</v>
      </c>
      <c r="AG331" s="511" t="s">
        <v>495</v>
      </c>
      <c r="AH331" s="511"/>
    </row>
    <row r="332" spans="1:34" s="366" customFormat="1" ht="30">
      <c r="A332" s="585"/>
      <c r="B332" s="586"/>
      <c r="C332" s="364"/>
      <c r="D332" s="386" t="s">
        <v>279</v>
      </c>
      <c r="E332" s="199"/>
      <c r="F332" s="200"/>
      <c r="G332" s="199"/>
      <c r="H332" s="417">
        <v>3132</v>
      </c>
      <c r="I332" s="201">
        <v>25000</v>
      </c>
      <c r="J332" s="201"/>
      <c r="K332" s="201"/>
      <c r="L332" s="51"/>
      <c r="M332" s="51">
        <v>25000</v>
      </c>
      <c r="N332" s="465"/>
      <c r="O332" s="465"/>
      <c r="P332" s="465"/>
      <c r="Q332" s="465"/>
      <c r="R332" s="465">
        <v>4500</v>
      </c>
      <c r="S332" s="465">
        <v>10500</v>
      </c>
      <c r="T332" s="465"/>
      <c r="U332" s="465"/>
      <c r="V332" s="465"/>
      <c r="W332" s="465"/>
      <c r="X332" s="465">
        <v>10000</v>
      </c>
      <c r="Y332" s="465"/>
      <c r="Z332" s="465">
        <f>2304.97+5378.03+0.22</f>
        <v>7683.22</v>
      </c>
      <c r="AA332" s="407">
        <f t="shared" si="31"/>
        <v>17316.78</v>
      </c>
      <c r="AC332" s="502"/>
      <c r="AD332" s="518">
        <v>25000</v>
      </c>
      <c r="AE332" s="511"/>
      <c r="AF332" s="511" t="s">
        <v>1855</v>
      </c>
      <c r="AG332" s="511" t="s">
        <v>495</v>
      </c>
      <c r="AH332" s="511"/>
    </row>
    <row r="333" spans="1:34" s="366" customFormat="1" ht="30">
      <c r="A333" s="585"/>
      <c r="B333" s="586"/>
      <c r="C333" s="364"/>
      <c r="D333" s="386" t="s">
        <v>280</v>
      </c>
      <c r="E333" s="199"/>
      <c r="F333" s="200"/>
      <c r="G333" s="199"/>
      <c r="H333" s="417">
        <v>3132</v>
      </c>
      <c r="I333" s="201">
        <v>25000</v>
      </c>
      <c r="J333" s="466"/>
      <c r="K333" s="201"/>
      <c r="L333" s="51"/>
      <c r="M333" s="51">
        <v>25000</v>
      </c>
      <c r="N333" s="465"/>
      <c r="O333" s="465"/>
      <c r="P333" s="465"/>
      <c r="Q333" s="465"/>
      <c r="R333" s="465">
        <v>4500</v>
      </c>
      <c r="S333" s="465">
        <v>10500</v>
      </c>
      <c r="T333" s="465"/>
      <c r="U333" s="465"/>
      <c r="V333" s="465"/>
      <c r="W333" s="465"/>
      <c r="X333" s="465">
        <v>10000</v>
      </c>
      <c r="Y333" s="465"/>
      <c r="Z333" s="465">
        <f>5206.8+12147.53</f>
        <v>17354.33</v>
      </c>
      <c r="AA333" s="407">
        <f t="shared" si="31"/>
        <v>7645.67</v>
      </c>
      <c r="AC333" s="502"/>
      <c r="AD333" s="518">
        <v>25000</v>
      </c>
      <c r="AE333" s="511"/>
      <c r="AF333" s="511" t="s">
        <v>1856</v>
      </c>
      <c r="AG333" s="511" t="s">
        <v>495</v>
      </c>
      <c r="AH333" s="511"/>
    </row>
    <row r="334" spans="1:34" s="366" customFormat="1" ht="30">
      <c r="A334" s="585"/>
      <c r="B334" s="586"/>
      <c r="C334" s="364"/>
      <c r="D334" s="386" t="s">
        <v>1345</v>
      </c>
      <c r="E334" s="199"/>
      <c r="F334" s="200"/>
      <c r="G334" s="199"/>
      <c r="H334" s="417">
        <v>3132</v>
      </c>
      <c r="I334" s="201">
        <v>25000</v>
      </c>
      <c r="J334" s="466"/>
      <c r="K334" s="201"/>
      <c r="L334" s="51"/>
      <c r="M334" s="51">
        <v>25000</v>
      </c>
      <c r="N334" s="465"/>
      <c r="O334" s="465"/>
      <c r="P334" s="465"/>
      <c r="Q334" s="465"/>
      <c r="R334" s="465">
        <v>4500</v>
      </c>
      <c r="S334" s="465">
        <v>10500</v>
      </c>
      <c r="T334" s="465"/>
      <c r="U334" s="465"/>
      <c r="V334" s="465"/>
      <c r="W334" s="465"/>
      <c r="X334" s="465">
        <v>10000</v>
      </c>
      <c r="Y334" s="465"/>
      <c r="Z334" s="465">
        <f>1217.88+2841.72</f>
        <v>4059.6</v>
      </c>
      <c r="AA334" s="407">
        <f t="shared" si="31"/>
        <v>20940.4</v>
      </c>
      <c r="AC334" s="502"/>
      <c r="AD334" s="518">
        <v>25000</v>
      </c>
      <c r="AE334" s="511"/>
      <c r="AF334" s="511" t="s">
        <v>1857</v>
      </c>
      <c r="AG334" s="511" t="s">
        <v>495</v>
      </c>
      <c r="AH334" s="511"/>
    </row>
    <row r="335" spans="1:34" s="362" customFormat="1" ht="34.5" customHeight="1">
      <c r="A335" s="585"/>
      <c r="B335" s="586"/>
      <c r="C335" s="212"/>
      <c r="D335" s="358" t="s">
        <v>1346</v>
      </c>
      <c r="E335" s="142"/>
      <c r="F335" s="143"/>
      <c r="G335" s="142"/>
      <c r="H335" s="417">
        <v>3132</v>
      </c>
      <c r="I335" s="144">
        <v>120000</v>
      </c>
      <c r="J335" s="286"/>
      <c r="K335" s="144"/>
      <c r="L335" s="49"/>
      <c r="M335" s="49">
        <v>120000</v>
      </c>
      <c r="N335" s="407"/>
      <c r="O335" s="407"/>
      <c r="P335" s="407"/>
      <c r="Q335" s="407"/>
      <c r="R335" s="407">
        <v>4500</v>
      </c>
      <c r="S335" s="407">
        <v>10500</v>
      </c>
      <c r="T335" s="407">
        <v>31500</v>
      </c>
      <c r="U335" s="407">
        <v>73500</v>
      </c>
      <c r="V335" s="407"/>
      <c r="W335" s="407"/>
      <c r="X335" s="407"/>
      <c r="Y335" s="407"/>
      <c r="Z335" s="407">
        <f>3591.7+8380.66</f>
        <v>11972.36</v>
      </c>
      <c r="AA335" s="407">
        <f t="shared" si="31"/>
        <v>108027.64</v>
      </c>
      <c r="AC335" s="501"/>
      <c r="AD335" s="517">
        <v>120000</v>
      </c>
      <c r="AE335" s="506"/>
      <c r="AF335" s="506" t="s">
        <v>1858</v>
      </c>
      <c r="AG335" s="506"/>
      <c r="AH335" s="506"/>
    </row>
    <row r="336" spans="1:34" s="362" customFormat="1" ht="31.5">
      <c r="A336" s="585"/>
      <c r="B336" s="586"/>
      <c r="C336" s="212"/>
      <c r="D336" s="358" t="s">
        <v>1559</v>
      </c>
      <c r="E336" s="142"/>
      <c r="F336" s="143"/>
      <c r="G336" s="142"/>
      <c r="H336" s="417">
        <v>3132</v>
      </c>
      <c r="I336" s="144">
        <v>150000</v>
      </c>
      <c r="J336" s="286"/>
      <c r="K336" s="144"/>
      <c r="L336" s="49"/>
      <c r="M336" s="49">
        <v>150000</v>
      </c>
      <c r="N336" s="407"/>
      <c r="O336" s="407"/>
      <c r="P336" s="407"/>
      <c r="Q336" s="407"/>
      <c r="R336" s="407">
        <v>4500</v>
      </c>
      <c r="S336" s="407">
        <v>50500</v>
      </c>
      <c r="T336" s="407"/>
      <c r="U336" s="407">
        <v>95000</v>
      </c>
      <c r="V336" s="407"/>
      <c r="W336" s="407"/>
      <c r="X336" s="407"/>
      <c r="Y336" s="407"/>
      <c r="Z336" s="407">
        <f>2389.66+5575.86</f>
        <v>7965.52</v>
      </c>
      <c r="AA336" s="407">
        <f t="shared" si="31"/>
        <v>142034.48</v>
      </c>
      <c r="AC336" s="501"/>
      <c r="AD336" s="517">
        <v>150000</v>
      </c>
      <c r="AE336" s="506"/>
      <c r="AF336" s="506" t="s">
        <v>1859</v>
      </c>
      <c r="AG336" s="506" t="s">
        <v>495</v>
      </c>
      <c r="AH336" s="506"/>
    </row>
    <row r="337" spans="1:34" s="362" customFormat="1" ht="31.5">
      <c r="A337" s="585"/>
      <c r="B337" s="586"/>
      <c r="C337" s="212"/>
      <c r="D337" s="358" t="s">
        <v>2015</v>
      </c>
      <c r="E337" s="142"/>
      <c r="F337" s="143"/>
      <c r="G337" s="142"/>
      <c r="H337" s="417">
        <v>3132</v>
      </c>
      <c r="I337" s="144">
        <v>80000</v>
      </c>
      <c r="J337" s="286"/>
      <c r="K337" s="144"/>
      <c r="L337" s="49"/>
      <c r="M337" s="49">
        <v>80000</v>
      </c>
      <c r="N337" s="407"/>
      <c r="O337" s="407"/>
      <c r="P337" s="407"/>
      <c r="Q337" s="407"/>
      <c r="R337" s="407">
        <v>1800</v>
      </c>
      <c r="S337" s="407">
        <v>29200</v>
      </c>
      <c r="T337" s="407"/>
      <c r="U337" s="407">
        <v>49000</v>
      </c>
      <c r="V337" s="407"/>
      <c r="W337" s="407"/>
      <c r="X337" s="407"/>
      <c r="Y337" s="407"/>
      <c r="Z337" s="407">
        <f>3846.69+8975.6</f>
        <v>12822.29</v>
      </c>
      <c r="AA337" s="407">
        <f t="shared" si="31"/>
        <v>67177.71</v>
      </c>
      <c r="AC337" s="501"/>
      <c r="AD337" s="517">
        <v>80000</v>
      </c>
      <c r="AE337" s="506"/>
      <c r="AF337" s="506" t="s">
        <v>1860</v>
      </c>
      <c r="AG337" s="506" t="s">
        <v>495</v>
      </c>
      <c r="AH337" s="506"/>
    </row>
    <row r="338" spans="1:34" s="362" customFormat="1" ht="31.5">
      <c r="A338" s="585"/>
      <c r="B338" s="586"/>
      <c r="C338" s="212"/>
      <c r="D338" s="358" t="s">
        <v>347</v>
      </c>
      <c r="E338" s="142"/>
      <c r="F338" s="143"/>
      <c r="G338" s="142"/>
      <c r="H338" s="417">
        <v>3132</v>
      </c>
      <c r="I338" s="144">
        <v>130000</v>
      </c>
      <c r="J338" s="286"/>
      <c r="K338" s="144"/>
      <c r="L338" s="49"/>
      <c r="M338" s="49"/>
      <c r="N338" s="407"/>
      <c r="O338" s="407"/>
      <c r="P338" s="407"/>
      <c r="Q338" s="407"/>
      <c r="R338" s="407"/>
      <c r="S338" s="407"/>
      <c r="T338" s="407"/>
      <c r="U338" s="407"/>
      <c r="V338" s="407"/>
      <c r="W338" s="407">
        <v>103000</v>
      </c>
      <c r="X338" s="407">
        <v>27000</v>
      </c>
      <c r="Y338" s="407"/>
      <c r="Z338" s="407"/>
      <c r="AA338" s="407">
        <f t="shared" si="31"/>
        <v>130000</v>
      </c>
      <c r="AC338" s="501"/>
      <c r="AD338" s="517"/>
      <c r="AE338" s="506"/>
      <c r="AF338" s="506"/>
      <c r="AG338" s="506"/>
      <c r="AH338" s="506"/>
    </row>
    <row r="339" spans="1:34" s="362" customFormat="1" ht="31.5">
      <c r="A339" s="585"/>
      <c r="B339" s="586"/>
      <c r="C339" s="212"/>
      <c r="D339" s="360" t="s">
        <v>114</v>
      </c>
      <c r="E339" s="142"/>
      <c r="F339" s="143"/>
      <c r="G339" s="142"/>
      <c r="H339" s="417">
        <v>3132</v>
      </c>
      <c r="I339" s="144">
        <v>129858.14</v>
      </c>
      <c r="J339" s="286"/>
      <c r="K339" s="286"/>
      <c r="L339" s="49"/>
      <c r="M339" s="49">
        <v>129858.14</v>
      </c>
      <c r="N339" s="407"/>
      <c r="O339" s="407"/>
      <c r="P339" s="407"/>
      <c r="Q339" s="407"/>
      <c r="R339" s="407"/>
      <c r="S339" s="407"/>
      <c r="T339" s="407">
        <v>80000</v>
      </c>
      <c r="U339" s="407">
        <v>49858.14</v>
      </c>
      <c r="V339" s="407"/>
      <c r="W339" s="407"/>
      <c r="X339" s="407"/>
      <c r="Y339" s="407"/>
      <c r="Z339" s="407"/>
      <c r="AA339" s="407">
        <f t="shared" si="31"/>
        <v>129858.14</v>
      </c>
      <c r="AC339" s="501"/>
      <c r="AD339" s="517">
        <v>129858.14</v>
      </c>
      <c r="AE339" s="506"/>
      <c r="AF339" s="506" t="s">
        <v>1861</v>
      </c>
      <c r="AG339" s="506" t="s">
        <v>504</v>
      </c>
      <c r="AH339" s="506"/>
    </row>
    <row r="340" spans="1:34" s="362" customFormat="1" ht="15.75">
      <c r="A340" s="585"/>
      <c r="B340" s="586"/>
      <c r="C340" s="212"/>
      <c r="D340" s="359" t="s">
        <v>115</v>
      </c>
      <c r="E340" s="199"/>
      <c r="F340" s="200"/>
      <c r="G340" s="199"/>
      <c r="H340" s="417">
        <v>3110</v>
      </c>
      <c r="I340" s="144">
        <v>1449000</v>
      </c>
      <c r="J340" s="466"/>
      <c r="K340" s="201"/>
      <c r="L340" s="49"/>
      <c r="M340" s="49">
        <v>1449000</v>
      </c>
      <c r="N340" s="407"/>
      <c r="O340" s="407"/>
      <c r="P340" s="407"/>
      <c r="Q340" s="407"/>
      <c r="R340" s="407"/>
      <c r="S340" s="407"/>
      <c r="T340" s="407">
        <v>600000</v>
      </c>
      <c r="U340" s="407">
        <f>728000-223260.12</f>
        <v>504739.88</v>
      </c>
      <c r="V340" s="407"/>
      <c r="W340" s="407">
        <v>223260.12</v>
      </c>
      <c r="X340" s="407">
        <v>121000</v>
      </c>
      <c r="Y340" s="407"/>
      <c r="Z340" s="407"/>
      <c r="AA340" s="407">
        <f t="shared" si="31"/>
        <v>1449000</v>
      </c>
      <c r="AB340" s="362" t="s">
        <v>691</v>
      </c>
      <c r="AC340" s="506"/>
      <c r="AD340" s="517">
        <v>1449000</v>
      </c>
      <c r="AE340" s="506"/>
      <c r="AF340" s="506"/>
      <c r="AG340" s="506"/>
      <c r="AH340" s="506" t="s">
        <v>1862</v>
      </c>
    </row>
    <row r="341" spans="1:34" s="362" customFormat="1" ht="15.75">
      <c r="A341" s="585"/>
      <c r="B341" s="586"/>
      <c r="C341" s="212"/>
      <c r="D341" s="358" t="s">
        <v>116</v>
      </c>
      <c r="E341" s="199"/>
      <c r="F341" s="200"/>
      <c r="G341" s="199"/>
      <c r="H341" s="417"/>
      <c r="I341" s="391">
        <f>SUM(I342:I345)</f>
        <v>1866520</v>
      </c>
      <c r="J341" s="391">
        <f>SUM(J342:J345)</f>
        <v>0</v>
      </c>
      <c r="K341" s="391">
        <f>SUM(K342:K345)</f>
        <v>0</v>
      </c>
      <c r="L341" s="391">
        <f>SUM(L342:L345)</f>
        <v>0</v>
      </c>
      <c r="M341" s="391">
        <f>SUM(M342:M345)</f>
        <v>1876520</v>
      </c>
      <c r="N341" s="391">
        <f aca="true" t="shared" si="37" ref="N341:Y341">SUM(N342:N345)</f>
        <v>0</v>
      </c>
      <c r="O341" s="391">
        <f t="shared" si="37"/>
        <v>0</v>
      </c>
      <c r="P341" s="391">
        <f t="shared" si="37"/>
        <v>0</v>
      </c>
      <c r="Q341" s="391">
        <f t="shared" si="37"/>
        <v>0</v>
      </c>
      <c r="R341" s="391">
        <f t="shared" si="37"/>
        <v>18000</v>
      </c>
      <c r="S341" s="391">
        <f t="shared" si="37"/>
        <v>196926</v>
      </c>
      <c r="T341" s="391">
        <f t="shared" si="37"/>
        <v>360000</v>
      </c>
      <c r="U341" s="391">
        <f t="shared" si="37"/>
        <v>261494</v>
      </c>
      <c r="V341" s="391">
        <f t="shared" si="37"/>
        <v>190000</v>
      </c>
      <c r="W341" s="391">
        <f t="shared" si="37"/>
        <v>420050</v>
      </c>
      <c r="X341" s="391">
        <f t="shared" si="37"/>
        <v>0</v>
      </c>
      <c r="Y341" s="391">
        <f t="shared" si="37"/>
        <v>420050</v>
      </c>
      <c r="Z341" s="391">
        <f>SUM(Z342:Z345)</f>
        <v>885996.15</v>
      </c>
      <c r="AA341" s="407">
        <f t="shared" si="31"/>
        <v>560473.85</v>
      </c>
      <c r="AC341" s="501"/>
      <c r="AD341" s="517"/>
      <c r="AE341" s="506"/>
      <c r="AF341" s="506"/>
      <c r="AG341" s="506"/>
      <c r="AH341" s="506"/>
    </row>
    <row r="342" spans="1:34" s="366" customFormat="1" ht="15.75">
      <c r="A342" s="585"/>
      <c r="B342" s="586"/>
      <c r="C342" s="364"/>
      <c r="D342" s="385" t="s">
        <v>117</v>
      </c>
      <c r="E342" s="199"/>
      <c r="F342" s="200"/>
      <c r="G342" s="199"/>
      <c r="H342" s="417">
        <v>3132</v>
      </c>
      <c r="I342" s="201">
        <v>1200100</v>
      </c>
      <c r="J342" s="466"/>
      <c r="K342" s="201"/>
      <c r="L342" s="51"/>
      <c r="M342" s="51">
        <v>1200100</v>
      </c>
      <c r="N342" s="465"/>
      <c r="O342" s="465"/>
      <c r="P342" s="465"/>
      <c r="Q342" s="465"/>
      <c r="R342" s="465"/>
      <c r="S342" s="465"/>
      <c r="T342" s="465">
        <v>360000</v>
      </c>
      <c r="U342" s="465"/>
      <c r="V342" s="465">
        <f>420050-420050</f>
        <v>0</v>
      </c>
      <c r="W342" s="465">
        <v>420050</v>
      </c>
      <c r="X342" s="465"/>
      <c r="Y342" s="465">
        <v>420050</v>
      </c>
      <c r="Z342" s="465">
        <f>297042.9+19898</f>
        <v>316940.9</v>
      </c>
      <c r="AA342" s="407">
        <f t="shared" si="31"/>
        <v>463109.1</v>
      </c>
      <c r="AC342" s="502"/>
      <c r="AD342" s="518">
        <v>122100</v>
      </c>
      <c r="AE342" s="511"/>
      <c r="AF342" s="511" t="s">
        <v>1863</v>
      </c>
      <c r="AG342" s="511" t="s">
        <v>504</v>
      </c>
      <c r="AH342" s="511"/>
    </row>
    <row r="343" spans="1:34" s="366" customFormat="1" ht="30">
      <c r="A343" s="585"/>
      <c r="B343" s="586"/>
      <c r="C343" s="364"/>
      <c r="D343" s="385" t="s">
        <v>1575</v>
      </c>
      <c r="E343" s="199"/>
      <c r="F343" s="200"/>
      <c r="G343" s="199"/>
      <c r="H343" s="417">
        <v>3132</v>
      </c>
      <c r="I343" s="201">
        <f>250000-200000</f>
        <v>50000</v>
      </c>
      <c r="J343" s="466"/>
      <c r="K343" s="201"/>
      <c r="L343" s="51"/>
      <c r="M343" s="51">
        <v>250000</v>
      </c>
      <c r="N343" s="465"/>
      <c r="O343" s="465"/>
      <c r="P343" s="465"/>
      <c r="Q343" s="465"/>
      <c r="R343" s="465">
        <v>9000</v>
      </c>
      <c r="S343" s="465">
        <v>87000</v>
      </c>
      <c r="T343" s="465"/>
      <c r="U343" s="465">
        <f>154000-200000</f>
        <v>-46000</v>
      </c>
      <c r="V343" s="465"/>
      <c r="W343" s="465"/>
      <c r="X343" s="465"/>
      <c r="Y343" s="465"/>
      <c r="Z343" s="465">
        <v>5372.45</v>
      </c>
      <c r="AA343" s="407">
        <f t="shared" si="31"/>
        <v>44627.55</v>
      </c>
      <c r="AC343" s="502"/>
      <c r="AD343" s="518">
        <v>250000</v>
      </c>
      <c r="AE343" s="511"/>
      <c r="AF343" s="511" t="s">
        <v>1864</v>
      </c>
      <c r="AG343" s="511" t="s">
        <v>1865</v>
      </c>
      <c r="AH343" s="511"/>
    </row>
    <row r="344" spans="1:34" s="366" customFormat="1" ht="30">
      <c r="A344" s="585"/>
      <c r="B344" s="586"/>
      <c r="C344" s="364"/>
      <c r="D344" s="385" t="s">
        <v>1576</v>
      </c>
      <c r="E344" s="199"/>
      <c r="F344" s="200"/>
      <c r="G344" s="199"/>
      <c r="H344" s="417">
        <v>3132</v>
      </c>
      <c r="I344" s="201">
        <v>30000</v>
      </c>
      <c r="J344" s="466"/>
      <c r="K344" s="201"/>
      <c r="L344" s="51"/>
      <c r="M344" s="51">
        <v>30000</v>
      </c>
      <c r="N344" s="465"/>
      <c r="O344" s="465"/>
      <c r="P344" s="465"/>
      <c r="Q344" s="465"/>
      <c r="R344" s="465">
        <v>9000</v>
      </c>
      <c r="S344" s="465">
        <v>21000</v>
      </c>
      <c r="T344" s="465"/>
      <c r="U344" s="465"/>
      <c r="V344" s="465"/>
      <c r="W344" s="465"/>
      <c r="X344" s="465"/>
      <c r="Y344" s="465"/>
      <c r="Z344" s="465">
        <f>6079.79+3846.69-3846.69+14186.17</f>
        <v>20265.96</v>
      </c>
      <c r="AA344" s="407">
        <f t="shared" si="31"/>
        <v>9734.04</v>
      </c>
      <c r="AC344" s="502"/>
      <c r="AD344" s="518">
        <v>30000</v>
      </c>
      <c r="AE344" s="511"/>
      <c r="AF344" s="511" t="s">
        <v>1866</v>
      </c>
      <c r="AG344" s="511" t="s">
        <v>1865</v>
      </c>
      <c r="AH344" s="511"/>
    </row>
    <row r="345" spans="1:34" s="366" customFormat="1" ht="15.75">
      <c r="A345" s="585"/>
      <c r="B345" s="586"/>
      <c r="C345" s="364"/>
      <c r="D345" s="385" t="s">
        <v>1577</v>
      </c>
      <c r="E345" s="199"/>
      <c r="F345" s="200"/>
      <c r="G345" s="199"/>
      <c r="H345" s="417">
        <v>3132</v>
      </c>
      <c r="I345" s="201">
        <f>396420+190000</f>
        <v>586420</v>
      </c>
      <c r="J345" s="466"/>
      <c r="K345" s="201"/>
      <c r="L345" s="51"/>
      <c r="M345" s="51">
        <v>396420</v>
      </c>
      <c r="N345" s="465"/>
      <c r="O345" s="465"/>
      <c r="P345" s="465"/>
      <c r="Q345" s="465"/>
      <c r="R345" s="465"/>
      <c r="S345" s="465">
        <v>88926</v>
      </c>
      <c r="T345" s="465"/>
      <c r="U345" s="465">
        <v>307494</v>
      </c>
      <c r="V345" s="465">
        <v>190000</v>
      </c>
      <c r="W345" s="465"/>
      <c r="X345" s="465"/>
      <c r="Y345" s="465"/>
      <c r="Z345" s="465">
        <f>88926+293874.7+161557.34-941.2</f>
        <v>543416.84</v>
      </c>
      <c r="AA345" s="407">
        <f aca="true" t="shared" si="38" ref="AA345:AA408">N345+O345+P345+Q345+R345+S345+T345+U345+V345+W345+X345-Z345</f>
        <v>43003.16</v>
      </c>
      <c r="AC345" s="502"/>
      <c r="AD345" s="518">
        <v>586420</v>
      </c>
      <c r="AE345" s="511"/>
      <c r="AF345" s="511" t="s">
        <v>1867</v>
      </c>
      <c r="AG345" s="511" t="s">
        <v>504</v>
      </c>
      <c r="AH345" s="511"/>
    </row>
    <row r="346" spans="1:34" s="362" customFormat="1" ht="31.5">
      <c r="A346" s="585"/>
      <c r="B346" s="586"/>
      <c r="C346" s="212"/>
      <c r="D346" s="360" t="s">
        <v>2039</v>
      </c>
      <c r="E346" s="199"/>
      <c r="F346" s="200"/>
      <c r="G346" s="199"/>
      <c r="H346" s="417">
        <v>3132</v>
      </c>
      <c r="I346" s="144">
        <v>80000</v>
      </c>
      <c r="J346" s="466"/>
      <c r="K346" s="201"/>
      <c r="L346" s="49"/>
      <c r="M346" s="49">
        <v>80000</v>
      </c>
      <c r="N346" s="407"/>
      <c r="O346" s="407"/>
      <c r="P346" s="407"/>
      <c r="Q346" s="407"/>
      <c r="R346" s="407">
        <v>1000</v>
      </c>
      <c r="S346" s="407">
        <v>29000</v>
      </c>
      <c r="T346" s="407"/>
      <c r="U346" s="407">
        <v>50000</v>
      </c>
      <c r="V346" s="407"/>
      <c r="W346" s="407"/>
      <c r="X346" s="407"/>
      <c r="Y346" s="407"/>
      <c r="Z346" s="407">
        <v>1590</v>
      </c>
      <c r="AA346" s="407">
        <f t="shared" si="38"/>
        <v>78410</v>
      </c>
      <c r="AC346" s="501"/>
      <c r="AD346" s="517">
        <v>80000</v>
      </c>
      <c r="AE346" s="506"/>
      <c r="AF346" s="506" t="s">
        <v>1868</v>
      </c>
      <c r="AG346" s="506" t="s">
        <v>1865</v>
      </c>
      <c r="AH346" s="506"/>
    </row>
    <row r="347" spans="1:34" s="362" customFormat="1" ht="31.5">
      <c r="A347" s="585"/>
      <c r="B347" s="586"/>
      <c r="C347" s="212"/>
      <c r="D347" s="360" t="s">
        <v>2078</v>
      </c>
      <c r="E347" s="199"/>
      <c r="F347" s="200"/>
      <c r="G347" s="199"/>
      <c r="H347" s="417">
        <v>3132</v>
      </c>
      <c r="I347" s="144">
        <v>80000</v>
      </c>
      <c r="J347" s="466"/>
      <c r="K347" s="201"/>
      <c r="L347" s="49"/>
      <c r="M347" s="49"/>
      <c r="N347" s="407"/>
      <c r="O347" s="407"/>
      <c r="P347" s="407"/>
      <c r="Q347" s="407"/>
      <c r="R347" s="407"/>
      <c r="S347" s="407"/>
      <c r="T347" s="407"/>
      <c r="U347" s="407"/>
      <c r="V347" s="407">
        <v>80000</v>
      </c>
      <c r="W347" s="407"/>
      <c r="X347" s="407"/>
      <c r="Y347" s="407"/>
      <c r="Z347" s="407">
        <f>2302.92+5373.48</f>
        <v>7676.4</v>
      </c>
      <c r="AA347" s="407">
        <f t="shared" si="38"/>
        <v>72323.6</v>
      </c>
      <c r="AC347" s="501"/>
      <c r="AD347" s="517">
        <v>80000</v>
      </c>
      <c r="AE347" s="506"/>
      <c r="AF347" s="506" t="s">
        <v>1869</v>
      </c>
      <c r="AG347" s="506" t="s">
        <v>495</v>
      </c>
      <c r="AH347" s="506"/>
    </row>
    <row r="348" spans="1:34" s="362" customFormat="1" ht="31.5">
      <c r="A348" s="585"/>
      <c r="B348" s="586"/>
      <c r="C348" s="212"/>
      <c r="D348" s="360" t="s">
        <v>2040</v>
      </c>
      <c r="E348" s="199"/>
      <c r="F348" s="200"/>
      <c r="G348" s="199"/>
      <c r="H348" s="417">
        <v>3132</v>
      </c>
      <c r="I348" s="144">
        <v>80000</v>
      </c>
      <c r="J348" s="466"/>
      <c r="K348" s="201"/>
      <c r="L348" s="49"/>
      <c r="M348" s="49">
        <v>80000</v>
      </c>
      <c r="N348" s="407"/>
      <c r="O348" s="407"/>
      <c r="P348" s="407"/>
      <c r="Q348" s="407"/>
      <c r="R348" s="407"/>
      <c r="S348" s="407">
        <v>25000</v>
      </c>
      <c r="T348" s="407">
        <v>55000</v>
      </c>
      <c r="U348" s="407"/>
      <c r="V348" s="407"/>
      <c r="W348" s="407"/>
      <c r="X348" s="407"/>
      <c r="Y348" s="407"/>
      <c r="Z348" s="407">
        <v>42918.4</v>
      </c>
      <c r="AA348" s="407">
        <f t="shared" si="38"/>
        <v>37081.6</v>
      </c>
      <c r="AC348" s="501"/>
      <c r="AD348" s="517">
        <v>80000</v>
      </c>
      <c r="AE348" s="506"/>
      <c r="AF348" s="506" t="s">
        <v>1870</v>
      </c>
      <c r="AG348" s="506" t="s">
        <v>495</v>
      </c>
      <c r="AH348" s="506"/>
    </row>
    <row r="349" spans="1:34" s="362" customFormat="1" ht="31.5" customHeight="1">
      <c r="A349" s="585"/>
      <c r="B349" s="586"/>
      <c r="C349" s="212"/>
      <c r="D349" s="358" t="s">
        <v>2041</v>
      </c>
      <c r="E349" s="199"/>
      <c r="F349" s="200"/>
      <c r="G349" s="199"/>
      <c r="H349" s="417">
        <v>3132</v>
      </c>
      <c r="I349" s="144">
        <v>77000</v>
      </c>
      <c r="J349" s="466"/>
      <c r="K349" s="201"/>
      <c r="L349" s="49"/>
      <c r="M349" s="49">
        <v>77000</v>
      </c>
      <c r="N349" s="407"/>
      <c r="O349" s="407"/>
      <c r="P349" s="407"/>
      <c r="Q349" s="407"/>
      <c r="R349" s="407">
        <v>1500</v>
      </c>
      <c r="S349" s="407">
        <v>25500</v>
      </c>
      <c r="T349" s="407"/>
      <c r="U349" s="407">
        <v>50000</v>
      </c>
      <c r="V349" s="407"/>
      <c r="W349" s="407"/>
      <c r="X349" s="407"/>
      <c r="Y349" s="407"/>
      <c r="Z349" s="407">
        <v>1545</v>
      </c>
      <c r="AA349" s="407">
        <f t="shared" si="38"/>
        <v>75455</v>
      </c>
      <c r="AC349" s="501"/>
      <c r="AD349" s="517">
        <v>77000</v>
      </c>
      <c r="AE349" s="506"/>
      <c r="AF349" s="506" t="s">
        <v>1871</v>
      </c>
      <c r="AG349" s="506" t="s">
        <v>495</v>
      </c>
      <c r="AH349" s="506"/>
    </row>
    <row r="350" spans="1:34" s="362" customFormat="1" ht="15.75">
      <c r="A350" s="585"/>
      <c r="B350" s="586"/>
      <c r="C350" s="212"/>
      <c r="D350" s="361" t="s">
        <v>2001</v>
      </c>
      <c r="E350" s="142"/>
      <c r="F350" s="143"/>
      <c r="G350" s="142"/>
      <c r="H350" s="417"/>
      <c r="I350" s="391">
        <f>SUM(I351:I356)</f>
        <v>1793460.4</v>
      </c>
      <c r="J350" s="391">
        <f aca="true" t="shared" si="39" ref="J350:Z350">SUM(J351:J356)</f>
        <v>0</v>
      </c>
      <c r="K350" s="391">
        <f t="shared" si="39"/>
        <v>0</v>
      </c>
      <c r="L350" s="391">
        <f t="shared" si="39"/>
        <v>0</v>
      </c>
      <c r="M350" s="391">
        <f t="shared" si="39"/>
        <v>1543460.4</v>
      </c>
      <c r="N350" s="391">
        <f t="shared" si="39"/>
        <v>0</v>
      </c>
      <c r="O350" s="391">
        <f t="shared" si="39"/>
        <v>0</v>
      </c>
      <c r="P350" s="391">
        <f t="shared" si="39"/>
        <v>0</v>
      </c>
      <c r="Q350" s="391">
        <f t="shared" si="39"/>
        <v>0</v>
      </c>
      <c r="R350" s="391">
        <f t="shared" si="39"/>
        <v>329620</v>
      </c>
      <c r="S350" s="391">
        <f t="shared" si="39"/>
        <v>217200</v>
      </c>
      <c r="T350" s="391">
        <f t="shared" si="39"/>
        <v>359190.4</v>
      </c>
      <c r="U350" s="391">
        <f t="shared" si="39"/>
        <v>375000</v>
      </c>
      <c r="V350" s="391">
        <f t="shared" si="39"/>
        <v>108150</v>
      </c>
      <c r="W350" s="391">
        <f t="shared" si="39"/>
        <v>75000</v>
      </c>
      <c r="X350" s="391">
        <f t="shared" si="39"/>
        <v>329300</v>
      </c>
      <c r="Y350" s="391">
        <f t="shared" si="39"/>
        <v>0</v>
      </c>
      <c r="Z350" s="391">
        <f t="shared" si="39"/>
        <v>588079.85</v>
      </c>
      <c r="AA350" s="407">
        <f t="shared" si="38"/>
        <v>1205380.55</v>
      </c>
      <c r="AC350" s="501"/>
      <c r="AD350" s="517"/>
      <c r="AE350" s="506"/>
      <c r="AF350" s="506"/>
      <c r="AG350" s="506"/>
      <c r="AH350" s="506"/>
    </row>
    <row r="351" spans="1:34" s="366" customFormat="1" ht="15.75">
      <c r="A351" s="585"/>
      <c r="B351" s="586"/>
      <c r="C351" s="364"/>
      <c r="D351" s="385" t="s">
        <v>2042</v>
      </c>
      <c r="E351" s="199"/>
      <c r="F351" s="200"/>
      <c r="G351" s="199"/>
      <c r="H351" s="417">
        <v>3132</v>
      </c>
      <c r="I351" s="201">
        <v>783150</v>
      </c>
      <c r="J351" s="466"/>
      <c r="K351" s="201"/>
      <c r="L351" s="51"/>
      <c r="M351" s="51">
        <v>783150</v>
      </c>
      <c r="N351" s="465"/>
      <c r="O351" s="465"/>
      <c r="P351" s="465"/>
      <c r="Q351" s="465"/>
      <c r="R351" s="465">
        <v>235000</v>
      </c>
      <c r="S351" s="465">
        <f>100000-29300</f>
        <v>70700</v>
      </c>
      <c r="T351" s="465">
        <v>120000</v>
      </c>
      <c r="U351" s="465">
        <v>120000</v>
      </c>
      <c r="V351" s="465">
        <v>108150</v>
      </c>
      <c r="W351" s="465">
        <v>100000</v>
      </c>
      <c r="X351" s="465">
        <v>29300</v>
      </c>
      <c r="Y351" s="465"/>
      <c r="Z351" s="465">
        <v>185678.52</v>
      </c>
      <c r="AA351" s="407">
        <f t="shared" si="38"/>
        <v>597471.48</v>
      </c>
      <c r="AC351" s="502"/>
      <c r="AD351" s="518">
        <v>783150</v>
      </c>
      <c r="AE351" s="511"/>
      <c r="AF351" s="511" t="s">
        <v>1872</v>
      </c>
      <c r="AG351" s="511" t="s">
        <v>504</v>
      </c>
      <c r="AH351" s="511"/>
    </row>
    <row r="352" spans="1:34" s="366" customFormat="1" ht="15.75">
      <c r="A352" s="585"/>
      <c r="B352" s="586"/>
      <c r="C352" s="364"/>
      <c r="D352" s="385" t="s">
        <v>608</v>
      </c>
      <c r="E352" s="199"/>
      <c r="F352" s="200"/>
      <c r="G352" s="199"/>
      <c r="H352" s="417">
        <v>3132</v>
      </c>
      <c r="I352" s="201">
        <v>270400</v>
      </c>
      <c r="J352" s="466"/>
      <c r="K352" s="201"/>
      <c r="L352" s="51"/>
      <c r="M352" s="51">
        <v>270400</v>
      </c>
      <c r="N352" s="465"/>
      <c r="O352" s="465"/>
      <c r="P352" s="465"/>
      <c r="Q352" s="465"/>
      <c r="R352" s="465">
        <v>81120</v>
      </c>
      <c r="S352" s="465"/>
      <c r="T352" s="465">
        <v>189280</v>
      </c>
      <c r="U352" s="465"/>
      <c r="V352" s="465"/>
      <c r="W352" s="465"/>
      <c r="X352" s="465"/>
      <c r="Y352" s="465"/>
      <c r="Z352" s="465">
        <f>79830+82238.4+93740.4+10291.2</f>
        <v>266100</v>
      </c>
      <c r="AA352" s="407">
        <f t="shared" si="38"/>
        <v>4300</v>
      </c>
      <c r="AC352" s="502"/>
      <c r="AD352" s="518">
        <v>270400</v>
      </c>
      <c r="AE352" s="511"/>
      <c r="AF352" s="511" t="s">
        <v>1873</v>
      </c>
      <c r="AG352" s="511" t="s">
        <v>504</v>
      </c>
      <c r="AH352" s="511"/>
    </row>
    <row r="353" spans="1:34" s="366" customFormat="1" ht="45">
      <c r="A353" s="585"/>
      <c r="B353" s="586"/>
      <c r="C353" s="364"/>
      <c r="D353" s="385" t="s">
        <v>609</v>
      </c>
      <c r="E353" s="199"/>
      <c r="F353" s="200"/>
      <c r="G353" s="199"/>
      <c r="H353" s="417">
        <v>3132</v>
      </c>
      <c r="I353" s="201">
        <f>150000-25000+300000</f>
        <v>425000</v>
      </c>
      <c r="J353" s="466"/>
      <c r="K353" s="201"/>
      <c r="L353" s="51"/>
      <c r="M353" s="51">
        <v>150000</v>
      </c>
      <c r="N353" s="465"/>
      <c r="O353" s="465"/>
      <c r="P353" s="465"/>
      <c r="Q353" s="465"/>
      <c r="R353" s="465">
        <v>4500</v>
      </c>
      <c r="S353" s="465">
        <v>55500</v>
      </c>
      <c r="T353" s="465"/>
      <c r="U353" s="465">
        <v>90000</v>
      </c>
      <c r="V353" s="465"/>
      <c r="W353" s="465">
        <v>-25000</v>
      </c>
      <c r="X353" s="465">
        <v>300000</v>
      </c>
      <c r="Y353" s="465"/>
      <c r="Z353" s="465">
        <f>4569.6+5269.47+10662.4+75500</f>
        <v>96001.47</v>
      </c>
      <c r="AA353" s="407">
        <f t="shared" si="38"/>
        <v>328998.53</v>
      </c>
      <c r="AC353" s="502"/>
      <c r="AD353" s="518">
        <v>150000</v>
      </c>
      <c r="AE353" s="511"/>
      <c r="AF353" s="511" t="s">
        <v>1490</v>
      </c>
      <c r="AG353" s="511" t="s">
        <v>495</v>
      </c>
      <c r="AH353" s="511"/>
    </row>
    <row r="354" spans="1:34" s="366" customFormat="1" ht="45">
      <c r="A354" s="585"/>
      <c r="B354" s="586"/>
      <c r="C354" s="364"/>
      <c r="D354" s="385" t="s">
        <v>1419</v>
      </c>
      <c r="E354" s="199"/>
      <c r="F354" s="200"/>
      <c r="G354" s="199"/>
      <c r="H354" s="417">
        <v>3132</v>
      </c>
      <c r="I354" s="201">
        <v>250000</v>
      </c>
      <c r="J354" s="466"/>
      <c r="K354" s="201"/>
      <c r="L354" s="51"/>
      <c r="M354" s="51">
        <v>250000</v>
      </c>
      <c r="N354" s="465"/>
      <c r="O354" s="465"/>
      <c r="P354" s="465"/>
      <c r="Q354" s="465"/>
      <c r="R354" s="465">
        <v>4500</v>
      </c>
      <c r="S354" s="465">
        <v>80500</v>
      </c>
      <c r="T354" s="465"/>
      <c r="U354" s="465">
        <v>165000</v>
      </c>
      <c r="V354" s="465"/>
      <c r="W354" s="465"/>
      <c r="X354" s="465"/>
      <c r="Y354" s="465"/>
      <c r="Z354" s="465">
        <f>7988.98+8389.96+18640.95</f>
        <v>35019.89</v>
      </c>
      <c r="AA354" s="407">
        <f t="shared" si="38"/>
        <v>214980.11</v>
      </c>
      <c r="AC354" s="502"/>
      <c r="AD354" s="518">
        <v>250000</v>
      </c>
      <c r="AE354" s="511"/>
      <c r="AF354" s="511" t="s">
        <v>1491</v>
      </c>
      <c r="AG354" s="511" t="s">
        <v>495</v>
      </c>
      <c r="AH354" s="511"/>
    </row>
    <row r="355" spans="1:34" s="366" customFormat="1" ht="30">
      <c r="A355" s="585"/>
      <c r="B355" s="586"/>
      <c r="C355" s="364"/>
      <c r="D355" s="385" t="s">
        <v>1420</v>
      </c>
      <c r="E355" s="199"/>
      <c r="F355" s="200"/>
      <c r="G355" s="199"/>
      <c r="H355" s="417">
        <v>3132</v>
      </c>
      <c r="I355" s="201">
        <f>45000-25000</f>
        <v>20000</v>
      </c>
      <c r="J355" s="466"/>
      <c r="K355" s="201"/>
      <c r="L355" s="51"/>
      <c r="M355" s="51">
        <v>45000</v>
      </c>
      <c r="N355" s="465"/>
      <c r="O355" s="465"/>
      <c r="P355" s="465"/>
      <c r="Q355" s="465"/>
      <c r="R355" s="465">
        <v>4500</v>
      </c>
      <c r="S355" s="465">
        <v>10500</v>
      </c>
      <c r="T355" s="465">
        <v>5000</v>
      </c>
      <c r="U355" s="465"/>
      <c r="V355" s="465"/>
      <c r="W355" s="465"/>
      <c r="X355" s="465">
        <f>25000-25000</f>
        <v>0</v>
      </c>
      <c r="Y355" s="465"/>
      <c r="Z355" s="465">
        <v>5279.97</v>
      </c>
      <c r="AA355" s="407">
        <f t="shared" si="38"/>
        <v>14720.03</v>
      </c>
      <c r="AC355" s="502"/>
      <c r="AD355" s="518">
        <v>45000</v>
      </c>
      <c r="AE355" s="511"/>
      <c r="AF355" s="511" t="s">
        <v>1492</v>
      </c>
      <c r="AG355" s="511" t="s">
        <v>495</v>
      </c>
      <c r="AH355" s="511"/>
    </row>
    <row r="356" spans="1:34" s="366" customFormat="1" ht="15.75">
      <c r="A356" s="585"/>
      <c r="B356" s="586"/>
      <c r="C356" s="364"/>
      <c r="D356" s="385" t="s">
        <v>1421</v>
      </c>
      <c r="E356" s="199"/>
      <c r="F356" s="200"/>
      <c r="G356" s="199"/>
      <c r="H356" s="417">
        <v>3132</v>
      </c>
      <c r="I356" s="201">
        <v>44910.4</v>
      </c>
      <c r="J356" s="466"/>
      <c r="K356" s="201"/>
      <c r="L356" s="51"/>
      <c r="M356" s="51">
        <v>44910.4</v>
      </c>
      <c r="N356" s="465"/>
      <c r="O356" s="465"/>
      <c r="P356" s="465"/>
      <c r="Q356" s="465"/>
      <c r="R356" s="465"/>
      <c r="S356" s="465"/>
      <c r="T356" s="465">
        <v>44910.4</v>
      </c>
      <c r="U356" s="465"/>
      <c r="V356" s="465"/>
      <c r="W356" s="465"/>
      <c r="X356" s="465"/>
      <c r="Y356" s="465"/>
      <c r="Z356" s="465"/>
      <c r="AA356" s="407">
        <f t="shared" si="38"/>
        <v>44910.4</v>
      </c>
      <c r="AC356" s="502"/>
      <c r="AD356" s="518">
        <v>44910</v>
      </c>
      <c r="AE356" s="511"/>
      <c r="AF356" s="511" t="s">
        <v>1493</v>
      </c>
      <c r="AG356" s="511" t="s">
        <v>504</v>
      </c>
      <c r="AH356" s="511"/>
    </row>
    <row r="357" spans="1:34" s="362" customFormat="1" ht="31.5">
      <c r="A357" s="585"/>
      <c r="B357" s="586"/>
      <c r="C357" s="212"/>
      <c r="D357" s="359" t="s">
        <v>1422</v>
      </c>
      <c r="E357" s="142"/>
      <c r="F357" s="143"/>
      <c r="G357" s="142"/>
      <c r="H357" s="417">
        <v>3110</v>
      </c>
      <c r="I357" s="144">
        <v>52000</v>
      </c>
      <c r="J357" s="286"/>
      <c r="K357" s="144"/>
      <c r="L357" s="49"/>
      <c r="M357" s="49">
        <v>52000</v>
      </c>
      <c r="N357" s="407"/>
      <c r="O357" s="407"/>
      <c r="P357" s="407"/>
      <c r="Q357" s="407"/>
      <c r="R357" s="407"/>
      <c r="S357" s="407"/>
      <c r="T357" s="407"/>
      <c r="U357" s="407">
        <f>52000-52000</f>
        <v>0</v>
      </c>
      <c r="V357" s="407"/>
      <c r="W357" s="407">
        <v>52000</v>
      </c>
      <c r="X357" s="407"/>
      <c r="Y357" s="407"/>
      <c r="Z357" s="407">
        <v>52000</v>
      </c>
      <c r="AA357" s="407">
        <f t="shared" si="38"/>
        <v>0</v>
      </c>
      <c r="AC357" s="501"/>
      <c r="AD357" s="517">
        <v>52000</v>
      </c>
      <c r="AE357" s="506"/>
      <c r="AF357" s="506"/>
      <c r="AG357" s="506"/>
      <c r="AH357" s="506"/>
    </row>
    <row r="358" spans="1:34" s="362" customFormat="1" ht="31.5">
      <c r="A358" s="585"/>
      <c r="B358" s="586"/>
      <c r="C358" s="212"/>
      <c r="D358" s="359" t="s">
        <v>1423</v>
      </c>
      <c r="E358" s="142"/>
      <c r="F358" s="143"/>
      <c r="G358" s="142"/>
      <c r="H358" s="417">
        <v>3110</v>
      </c>
      <c r="I358" s="144">
        <v>7000</v>
      </c>
      <c r="J358" s="286"/>
      <c r="K358" s="144"/>
      <c r="L358" s="49"/>
      <c r="M358" s="49">
        <v>7000</v>
      </c>
      <c r="N358" s="407"/>
      <c r="O358" s="407"/>
      <c r="P358" s="407"/>
      <c r="Q358" s="407"/>
      <c r="R358" s="407"/>
      <c r="S358" s="407"/>
      <c r="T358" s="407"/>
      <c r="U358" s="407"/>
      <c r="V358" s="407"/>
      <c r="W358" s="407"/>
      <c r="X358" s="407">
        <v>7000</v>
      </c>
      <c r="Y358" s="407"/>
      <c r="Z358" s="407"/>
      <c r="AA358" s="407">
        <f t="shared" si="38"/>
        <v>7000</v>
      </c>
      <c r="AC358" s="501"/>
      <c r="AD358" s="517">
        <v>7000</v>
      </c>
      <c r="AE358" s="506"/>
      <c r="AF358" s="506"/>
      <c r="AG358" s="506"/>
      <c r="AH358" s="506"/>
    </row>
    <row r="359" spans="1:34" s="362" customFormat="1" ht="15.75">
      <c r="A359" s="585"/>
      <c r="B359" s="586"/>
      <c r="C359" s="212"/>
      <c r="D359" s="13" t="s">
        <v>341</v>
      </c>
      <c r="E359" s="142"/>
      <c r="F359" s="143"/>
      <c r="G359" s="142"/>
      <c r="H359" s="417"/>
      <c r="I359" s="391">
        <f>SUM(I360:I362)</f>
        <v>92000</v>
      </c>
      <c r="J359" s="391">
        <f aca="true" t="shared" si="40" ref="J359:Z359">SUM(J360:J362)</f>
        <v>0</v>
      </c>
      <c r="K359" s="391">
        <f t="shared" si="40"/>
        <v>0</v>
      </c>
      <c r="L359" s="391">
        <f t="shared" si="40"/>
        <v>0</v>
      </c>
      <c r="M359" s="391">
        <f t="shared" si="40"/>
        <v>92000</v>
      </c>
      <c r="N359" s="391">
        <f t="shared" si="40"/>
        <v>0</v>
      </c>
      <c r="O359" s="391">
        <f t="shared" si="40"/>
        <v>0</v>
      </c>
      <c r="P359" s="391">
        <f t="shared" si="40"/>
        <v>0</v>
      </c>
      <c r="Q359" s="391">
        <f t="shared" si="40"/>
        <v>0</v>
      </c>
      <c r="R359" s="391">
        <f t="shared" si="40"/>
        <v>2700</v>
      </c>
      <c r="S359" s="391">
        <f t="shared" si="40"/>
        <v>31200</v>
      </c>
      <c r="T359" s="391">
        <f t="shared" si="40"/>
        <v>0</v>
      </c>
      <c r="U359" s="391">
        <f t="shared" si="40"/>
        <v>58100</v>
      </c>
      <c r="V359" s="391">
        <f t="shared" si="40"/>
        <v>0</v>
      </c>
      <c r="W359" s="391">
        <f t="shared" si="40"/>
        <v>0</v>
      </c>
      <c r="X359" s="391">
        <f t="shared" si="40"/>
        <v>0</v>
      </c>
      <c r="Y359" s="391">
        <f t="shared" si="40"/>
        <v>0</v>
      </c>
      <c r="Z359" s="391">
        <f t="shared" si="40"/>
        <v>31925.27</v>
      </c>
      <c r="AA359" s="407">
        <f t="shared" si="38"/>
        <v>60074.73</v>
      </c>
      <c r="AC359" s="501"/>
      <c r="AD359" s="517"/>
      <c r="AE359" s="506"/>
      <c r="AF359" s="506"/>
      <c r="AG359" s="506"/>
      <c r="AH359" s="506"/>
    </row>
    <row r="360" spans="1:34" s="366" customFormat="1" ht="30">
      <c r="A360" s="585"/>
      <c r="B360" s="586"/>
      <c r="C360" s="364"/>
      <c r="D360" s="384" t="s">
        <v>1424</v>
      </c>
      <c r="E360" s="199"/>
      <c r="F360" s="200"/>
      <c r="G360" s="199"/>
      <c r="H360" s="417">
        <v>3132</v>
      </c>
      <c r="I360" s="201">
        <v>28000</v>
      </c>
      <c r="J360" s="466"/>
      <c r="K360" s="201"/>
      <c r="L360" s="51"/>
      <c r="M360" s="51">
        <v>28000</v>
      </c>
      <c r="N360" s="465"/>
      <c r="O360" s="465"/>
      <c r="P360" s="465"/>
      <c r="Q360" s="465"/>
      <c r="R360" s="465">
        <v>900</v>
      </c>
      <c r="S360" s="465">
        <v>9600</v>
      </c>
      <c r="T360" s="465"/>
      <c r="U360" s="465">
        <v>17500</v>
      </c>
      <c r="V360" s="465"/>
      <c r="W360" s="465"/>
      <c r="X360" s="465"/>
      <c r="Y360" s="465"/>
      <c r="Z360" s="465">
        <f>1914.06+1286.27+4466.12+3001.29</f>
        <v>10667.74</v>
      </c>
      <c r="AA360" s="407">
        <f t="shared" si="38"/>
        <v>17332.26</v>
      </c>
      <c r="AC360" s="502"/>
      <c r="AD360" s="518">
        <v>28000</v>
      </c>
      <c r="AE360" s="511"/>
      <c r="AF360" s="511" t="s">
        <v>1494</v>
      </c>
      <c r="AG360" s="511" t="s">
        <v>495</v>
      </c>
      <c r="AH360" s="511"/>
    </row>
    <row r="361" spans="1:34" s="366" customFormat="1" ht="30">
      <c r="A361" s="585"/>
      <c r="B361" s="586"/>
      <c r="C361" s="364"/>
      <c r="D361" s="385" t="s">
        <v>1425</v>
      </c>
      <c r="E361" s="199"/>
      <c r="F361" s="200"/>
      <c r="G361" s="199"/>
      <c r="H361" s="417">
        <v>3132</v>
      </c>
      <c r="I361" s="201">
        <v>43000</v>
      </c>
      <c r="J361" s="466"/>
      <c r="K361" s="201"/>
      <c r="L361" s="51"/>
      <c r="M361" s="51">
        <v>43000</v>
      </c>
      <c r="N361" s="465"/>
      <c r="O361" s="465"/>
      <c r="P361" s="465"/>
      <c r="Q361" s="465"/>
      <c r="R361" s="465">
        <v>900</v>
      </c>
      <c r="S361" s="465">
        <v>14100</v>
      </c>
      <c r="T361" s="465"/>
      <c r="U361" s="465">
        <v>28000</v>
      </c>
      <c r="V361" s="465"/>
      <c r="W361" s="465"/>
      <c r="X361" s="465"/>
      <c r="Y361" s="465"/>
      <c r="Z361" s="465">
        <f>2077.71+4847.99+4287.56</f>
        <v>11213.26</v>
      </c>
      <c r="AA361" s="407">
        <f t="shared" si="38"/>
        <v>31786.74</v>
      </c>
      <c r="AC361" s="502"/>
      <c r="AD361" s="518">
        <v>43000</v>
      </c>
      <c r="AE361" s="511"/>
      <c r="AF361" s="511" t="s">
        <v>1495</v>
      </c>
      <c r="AG361" s="511" t="s">
        <v>495</v>
      </c>
      <c r="AH361" s="511"/>
    </row>
    <row r="362" spans="1:34" s="366" customFormat="1" ht="30">
      <c r="A362" s="585"/>
      <c r="B362" s="586"/>
      <c r="C362" s="364"/>
      <c r="D362" s="384" t="s">
        <v>1426</v>
      </c>
      <c r="E362" s="199"/>
      <c r="F362" s="200"/>
      <c r="G362" s="199"/>
      <c r="H362" s="417">
        <v>3132</v>
      </c>
      <c r="I362" s="201">
        <v>21000</v>
      </c>
      <c r="J362" s="466"/>
      <c r="K362" s="201"/>
      <c r="L362" s="51"/>
      <c r="M362" s="51">
        <v>21000</v>
      </c>
      <c r="N362" s="465"/>
      <c r="O362" s="465"/>
      <c r="P362" s="465"/>
      <c r="Q362" s="465"/>
      <c r="R362" s="465">
        <v>900</v>
      </c>
      <c r="S362" s="465">
        <v>7500</v>
      </c>
      <c r="T362" s="465"/>
      <c r="U362" s="465">
        <v>12600</v>
      </c>
      <c r="V362" s="465"/>
      <c r="W362" s="465"/>
      <c r="X362" s="465"/>
      <c r="Y362" s="465"/>
      <c r="Z362" s="465">
        <f>1099.22+1914.06+4466.12+1099.22+1465.65</f>
        <v>10044.27</v>
      </c>
      <c r="AA362" s="407">
        <f t="shared" si="38"/>
        <v>10955.73</v>
      </c>
      <c r="AC362" s="502"/>
      <c r="AD362" s="518">
        <v>21000</v>
      </c>
      <c r="AE362" s="511"/>
      <c r="AF362" s="511" t="s">
        <v>1496</v>
      </c>
      <c r="AG362" s="511" t="s">
        <v>495</v>
      </c>
      <c r="AH362" s="511"/>
    </row>
    <row r="363" spans="1:34" s="362" customFormat="1" ht="15.75" hidden="1">
      <c r="A363" s="585"/>
      <c r="B363" s="586"/>
      <c r="C363" s="212"/>
      <c r="D363" s="358" t="s">
        <v>1664</v>
      </c>
      <c r="E363" s="142"/>
      <c r="F363" s="143"/>
      <c r="G363" s="142"/>
      <c r="H363" s="417">
        <v>3132</v>
      </c>
      <c r="I363" s="144">
        <f>15000-15000</f>
        <v>0</v>
      </c>
      <c r="J363" s="286"/>
      <c r="K363" s="144"/>
      <c r="L363" s="49"/>
      <c r="M363" s="49">
        <v>15000</v>
      </c>
      <c r="N363" s="407"/>
      <c r="O363" s="407"/>
      <c r="P363" s="407"/>
      <c r="Q363" s="407"/>
      <c r="R363" s="407">
        <f>3000</f>
        <v>3000</v>
      </c>
      <c r="S363" s="407">
        <f>7000</f>
        <v>7000</v>
      </c>
      <c r="T363" s="407"/>
      <c r="U363" s="407">
        <f>-10000</f>
        <v>-10000</v>
      </c>
      <c r="V363" s="407"/>
      <c r="W363" s="407"/>
      <c r="X363" s="407">
        <f>5000-5000</f>
        <v>0</v>
      </c>
      <c r="Y363" s="407"/>
      <c r="Z363" s="407"/>
      <c r="AA363" s="407">
        <f t="shared" si="38"/>
        <v>0</v>
      </c>
      <c r="AC363" s="501"/>
      <c r="AD363" s="517"/>
      <c r="AE363" s="506"/>
      <c r="AF363" s="506"/>
      <c r="AG363" s="506"/>
      <c r="AH363" s="506"/>
    </row>
    <row r="364" spans="1:34" s="362" customFormat="1" ht="18.75" customHeight="1">
      <c r="A364" s="585"/>
      <c r="B364" s="586"/>
      <c r="C364" s="212"/>
      <c r="D364" s="358" t="s">
        <v>1123</v>
      </c>
      <c r="E364" s="142"/>
      <c r="F364" s="143"/>
      <c r="G364" s="142"/>
      <c r="H364" s="417">
        <v>3132</v>
      </c>
      <c r="I364" s="144">
        <v>25000</v>
      </c>
      <c r="J364" s="144"/>
      <c r="K364" s="144"/>
      <c r="L364" s="49"/>
      <c r="M364" s="49">
        <v>25000</v>
      </c>
      <c r="N364" s="407"/>
      <c r="O364" s="407"/>
      <c r="P364" s="407"/>
      <c r="Q364" s="407"/>
      <c r="R364" s="407">
        <v>3600</v>
      </c>
      <c r="S364" s="407">
        <v>8400</v>
      </c>
      <c r="T364" s="407"/>
      <c r="U364" s="407"/>
      <c r="V364" s="407"/>
      <c r="W364" s="407">
        <v>13000</v>
      </c>
      <c r="X364" s="407"/>
      <c r="Y364" s="407"/>
      <c r="Z364" s="407"/>
      <c r="AA364" s="407">
        <f t="shared" si="38"/>
        <v>25000</v>
      </c>
      <c r="AC364" s="501"/>
      <c r="AD364" s="517"/>
      <c r="AE364" s="506"/>
      <c r="AF364" s="506"/>
      <c r="AG364" s="506"/>
      <c r="AH364" s="506"/>
    </row>
    <row r="365" spans="1:34" s="362" customFormat="1" ht="18.75" customHeight="1">
      <c r="A365" s="581" t="s">
        <v>41</v>
      </c>
      <c r="B365" s="605" t="s">
        <v>1124</v>
      </c>
      <c r="C365" s="212"/>
      <c r="D365" s="368" t="s">
        <v>1456</v>
      </c>
      <c r="E365" s="137"/>
      <c r="F365" s="138"/>
      <c r="G365" s="137"/>
      <c r="H365" s="416"/>
      <c r="I365" s="395">
        <f>I366</f>
        <v>1000000</v>
      </c>
      <c r="J365" s="395">
        <f>J366</f>
        <v>0</v>
      </c>
      <c r="K365" s="395">
        <f>K366</f>
        <v>0</v>
      </c>
      <c r="L365" s="395">
        <f>L366</f>
        <v>0</v>
      </c>
      <c r="M365" s="395">
        <f>M366</f>
        <v>1000000</v>
      </c>
      <c r="N365" s="395">
        <f aca="true" t="shared" si="41" ref="N365:Z365">N366</f>
        <v>0</v>
      </c>
      <c r="O365" s="395">
        <f t="shared" si="41"/>
        <v>0</v>
      </c>
      <c r="P365" s="395">
        <f t="shared" si="41"/>
        <v>0</v>
      </c>
      <c r="Q365" s="395">
        <f t="shared" si="41"/>
        <v>0</v>
      </c>
      <c r="R365" s="395">
        <f t="shared" si="41"/>
        <v>0</v>
      </c>
      <c r="S365" s="395">
        <f t="shared" si="41"/>
        <v>0</v>
      </c>
      <c r="T365" s="395">
        <f t="shared" si="41"/>
        <v>0</v>
      </c>
      <c r="U365" s="395">
        <f t="shared" si="41"/>
        <v>0</v>
      </c>
      <c r="V365" s="395">
        <f t="shared" si="41"/>
        <v>0</v>
      </c>
      <c r="W365" s="395">
        <f t="shared" si="41"/>
        <v>0</v>
      </c>
      <c r="X365" s="395">
        <f t="shared" si="41"/>
        <v>1000000</v>
      </c>
      <c r="Y365" s="395">
        <f t="shared" si="41"/>
        <v>0</v>
      </c>
      <c r="Z365" s="395">
        <f t="shared" si="41"/>
        <v>0</v>
      </c>
      <c r="AA365" s="407">
        <f t="shared" si="38"/>
        <v>1000000</v>
      </c>
      <c r="AC365" s="501"/>
      <c r="AD365" s="517"/>
      <c r="AE365" s="506"/>
      <c r="AF365" s="506"/>
      <c r="AG365" s="506"/>
      <c r="AH365" s="506"/>
    </row>
    <row r="366" spans="1:34" s="362" customFormat="1" ht="31.5">
      <c r="A366" s="583"/>
      <c r="B366" s="606"/>
      <c r="C366" s="212"/>
      <c r="D366" s="358" t="s">
        <v>271</v>
      </c>
      <c r="E366" s="142"/>
      <c r="F366" s="143"/>
      <c r="G366" s="142"/>
      <c r="H366" s="417">
        <v>3110</v>
      </c>
      <c r="I366" s="144">
        <v>1000000</v>
      </c>
      <c r="J366" s="144"/>
      <c r="K366" s="144"/>
      <c r="L366" s="49"/>
      <c r="M366" s="49">
        <v>1000000</v>
      </c>
      <c r="N366" s="407"/>
      <c r="O366" s="407"/>
      <c r="P366" s="407"/>
      <c r="Q366" s="407"/>
      <c r="R366" s="407"/>
      <c r="S366" s="407"/>
      <c r="T366" s="407"/>
      <c r="U366" s="407"/>
      <c r="V366" s="407"/>
      <c r="W366" s="407"/>
      <c r="X366" s="407">
        <v>1000000</v>
      </c>
      <c r="Y366" s="407"/>
      <c r="Z366" s="407"/>
      <c r="AA366" s="407">
        <f t="shared" si="38"/>
        <v>1000000</v>
      </c>
      <c r="AC366" s="501"/>
      <c r="AD366" s="517">
        <v>1000000</v>
      </c>
      <c r="AE366" s="506"/>
      <c r="AF366" s="506"/>
      <c r="AG366" s="506"/>
      <c r="AH366" s="506"/>
    </row>
    <row r="367" spans="1:62" s="28" customFormat="1" ht="15.75">
      <c r="A367" s="581" t="s">
        <v>106</v>
      </c>
      <c r="B367" s="605" t="s">
        <v>1415</v>
      </c>
      <c r="C367" s="215"/>
      <c r="D367" s="136" t="s">
        <v>1456</v>
      </c>
      <c r="E367" s="137"/>
      <c r="F367" s="138"/>
      <c r="G367" s="137"/>
      <c r="H367" s="416"/>
      <c r="I367" s="139">
        <f>I369</f>
        <v>652</v>
      </c>
      <c r="J367" s="139">
        <f>SUM(J368:J370)</f>
        <v>0</v>
      </c>
      <c r="K367" s="139">
        <f>SUM(K368:K370)</f>
        <v>0</v>
      </c>
      <c r="L367" s="139">
        <f>SUM(L368:L370)</f>
        <v>652</v>
      </c>
      <c r="M367" s="139">
        <f>SUM(M368:M369)</f>
        <v>0</v>
      </c>
      <c r="N367" s="139">
        <f>SUM(N368:N369)</f>
        <v>0</v>
      </c>
      <c r="O367" s="139">
        <f>SUM(O368:O369)</f>
        <v>652</v>
      </c>
      <c r="P367" s="139">
        <f aca="true" t="shared" si="42" ref="P367:Z367">SUM(P368:P369)</f>
        <v>0</v>
      </c>
      <c r="Q367" s="139">
        <f t="shared" si="42"/>
        <v>0</v>
      </c>
      <c r="R367" s="139">
        <f t="shared" si="42"/>
        <v>0</v>
      </c>
      <c r="S367" s="139">
        <f t="shared" si="42"/>
        <v>0</v>
      </c>
      <c r="T367" s="139">
        <f t="shared" si="42"/>
        <v>0</v>
      </c>
      <c r="U367" s="139">
        <f t="shared" si="42"/>
        <v>0</v>
      </c>
      <c r="V367" s="139">
        <f t="shared" si="42"/>
        <v>0</v>
      </c>
      <c r="W367" s="139">
        <f t="shared" si="42"/>
        <v>0</v>
      </c>
      <c r="X367" s="139">
        <f t="shared" si="42"/>
        <v>0</v>
      </c>
      <c r="Y367" s="139">
        <f t="shared" si="42"/>
        <v>0</v>
      </c>
      <c r="Z367" s="139">
        <f t="shared" si="42"/>
        <v>652</v>
      </c>
      <c r="AA367" s="407">
        <f t="shared" si="38"/>
        <v>0</v>
      </c>
      <c r="AB367" s="30"/>
      <c r="AC367" s="59"/>
      <c r="AD367" s="514"/>
      <c r="AE367" s="509"/>
      <c r="AF367" s="509"/>
      <c r="AG367" s="509"/>
      <c r="AH367" s="509"/>
      <c r="AI367" s="30"/>
      <c r="AJ367" s="30"/>
      <c r="AK367" s="30"/>
      <c r="AL367" s="30"/>
      <c r="AM367" s="30"/>
      <c r="AN367" s="30"/>
      <c r="AO367" s="30"/>
      <c r="AP367" s="30"/>
      <c r="AQ367" s="30"/>
      <c r="AR367" s="30"/>
      <c r="AS367" s="30"/>
      <c r="AT367" s="30"/>
      <c r="AU367" s="30"/>
      <c r="AV367" s="30"/>
      <c r="AW367" s="30"/>
      <c r="AX367" s="30"/>
      <c r="AY367" s="30"/>
      <c r="AZ367" s="30"/>
      <c r="BA367" s="30"/>
      <c r="BB367" s="30"/>
      <c r="BC367" s="30"/>
      <c r="BD367" s="30"/>
      <c r="BE367" s="30"/>
      <c r="BF367" s="30"/>
      <c r="BG367" s="30"/>
      <c r="BH367" s="30"/>
      <c r="BI367" s="30"/>
      <c r="BJ367" s="30"/>
    </row>
    <row r="368" spans="1:34" s="45" customFormat="1" ht="31.5" hidden="1">
      <c r="A368" s="582"/>
      <c r="B368" s="607"/>
      <c r="C368" s="212" t="s">
        <v>1416</v>
      </c>
      <c r="D368" s="141" t="s">
        <v>1637</v>
      </c>
      <c r="E368" s="142"/>
      <c r="F368" s="143"/>
      <c r="G368" s="142"/>
      <c r="H368" s="417"/>
      <c r="I368" s="144" t="e">
        <f>J368+K368+L368+M368+#REF!+#REF!</f>
        <v>#REF!</v>
      </c>
      <c r="J368" s="144"/>
      <c r="K368" s="144"/>
      <c r="L368" s="144"/>
      <c r="M368" s="144"/>
      <c r="N368" s="407"/>
      <c r="O368" s="407"/>
      <c r="P368" s="407"/>
      <c r="Q368" s="407"/>
      <c r="R368" s="407"/>
      <c r="S368" s="407"/>
      <c r="T368" s="407"/>
      <c r="U368" s="407"/>
      <c r="V368" s="407"/>
      <c r="W368" s="407"/>
      <c r="X368" s="407"/>
      <c r="Y368" s="407"/>
      <c r="Z368" s="407"/>
      <c r="AA368" s="407">
        <f t="shared" si="38"/>
        <v>0</v>
      </c>
      <c r="AC368" s="499"/>
      <c r="AD368" s="513"/>
      <c r="AE368" s="508"/>
      <c r="AF368" s="508"/>
      <c r="AG368" s="508"/>
      <c r="AH368" s="508"/>
    </row>
    <row r="369" spans="1:34" s="45" customFormat="1" ht="71.25" customHeight="1">
      <c r="A369" s="582"/>
      <c r="B369" s="607"/>
      <c r="C369" s="212" t="s">
        <v>1164</v>
      </c>
      <c r="D369" s="141" t="s">
        <v>1638</v>
      </c>
      <c r="E369" s="142">
        <v>43</v>
      </c>
      <c r="F369" s="143">
        <f>100%-((E369-G369)/E369)</f>
        <v>1</v>
      </c>
      <c r="G369" s="142">
        <v>43</v>
      </c>
      <c r="H369" s="417">
        <v>3132</v>
      </c>
      <c r="I369" s="144">
        <v>652</v>
      </c>
      <c r="J369" s="144"/>
      <c r="K369" s="144"/>
      <c r="L369" s="144">
        <v>652</v>
      </c>
      <c r="M369" s="144"/>
      <c r="N369" s="407"/>
      <c r="O369" s="144">
        <v>652</v>
      </c>
      <c r="P369" s="407"/>
      <c r="Q369" s="407"/>
      <c r="R369" s="407"/>
      <c r="S369" s="407"/>
      <c r="T369" s="407"/>
      <c r="U369" s="407"/>
      <c r="V369" s="407"/>
      <c r="W369" s="407"/>
      <c r="X369" s="407"/>
      <c r="Y369" s="407"/>
      <c r="Z369" s="144">
        <v>652</v>
      </c>
      <c r="AA369" s="407">
        <f t="shared" si="38"/>
        <v>0</v>
      </c>
      <c r="AC369" s="499"/>
      <c r="AD369" s="513">
        <v>652</v>
      </c>
      <c r="AE369" s="508"/>
      <c r="AF369" s="508"/>
      <c r="AG369" s="508"/>
      <c r="AH369" s="508"/>
    </row>
    <row r="370" spans="1:34" s="45" customFormat="1" ht="31.5" hidden="1">
      <c r="A370" s="582"/>
      <c r="B370" s="607"/>
      <c r="C370" s="617"/>
      <c r="D370" s="141" t="s">
        <v>1639</v>
      </c>
      <c r="E370" s="142"/>
      <c r="F370" s="143"/>
      <c r="G370" s="142"/>
      <c r="H370" s="417"/>
      <c r="I370" s="144" t="e">
        <f>J370+K370+L370+M370+#REF!+#REF!</f>
        <v>#REF!</v>
      </c>
      <c r="J370" s="144"/>
      <c r="K370" s="144"/>
      <c r="L370" s="144">
        <f>L371</f>
        <v>0</v>
      </c>
      <c r="M370" s="144"/>
      <c r="N370" s="407"/>
      <c r="O370" s="407"/>
      <c r="P370" s="407"/>
      <c r="Q370" s="407"/>
      <c r="R370" s="407"/>
      <c r="S370" s="407"/>
      <c r="T370" s="407"/>
      <c r="U370" s="407"/>
      <c r="V370" s="407"/>
      <c r="W370" s="407"/>
      <c r="X370" s="407"/>
      <c r="Y370" s="407"/>
      <c r="Z370" s="407"/>
      <c r="AA370" s="407">
        <f t="shared" si="38"/>
        <v>0</v>
      </c>
      <c r="AC370" s="499"/>
      <c r="AD370" s="513"/>
      <c r="AE370" s="508"/>
      <c r="AF370" s="508"/>
      <c r="AG370" s="508"/>
      <c r="AH370" s="508"/>
    </row>
    <row r="371" spans="1:34" s="45" customFormat="1" ht="31.5" hidden="1">
      <c r="A371" s="645"/>
      <c r="B371" s="645"/>
      <c r="C371" s="619"/>
      <c r="D371" s="198" t="s">
        <v>1931</v>
      </c>
      <c r="E371" s="142"/>
      <c r="F371" s="143"/>
      <c r="G371" s="142"/>
      <c r="H371" s="417"/>
      <c r="I371" s="201" t="e">
        <f>J371+K371+L371+M371+#REF!+#REF!</f>
        <v>#REF!</v>
      </c>
      <c r="J371" s="144"/>
      <c r="K371" s="144"/>
      <c r="L371" s="144"/>
      <c r="M371" s="144"/>
      <c r="N371" s="407"/>
      <c r="O371" s="407"/>
      <c r="P371" s="407"/>
      <c r="Q371" s="407"/>
      <c r="R371" s="407"/>
      <c r="S371" s="407"/>
      <c r="T371" s="407"/>
      <c r="U371" s="407"/>
      <c r="V371" s="407"/>
      <c r="W371" s="407"/>
      <c r="X371" s="407"/>
      <c r="Y371" s="407"/>
      <c r="Z371" s="407"/>
      <c r="AA371" s="407">
        <f t="shared" si="38"/>
        <v>0</v>
      </c>
      <c r="AC371" s="499"/>
      <c r="AD371" s="513"/>
      <c r="AE371" s="508"/>
      <c r="AF371" s="508"/>
      <c r="AG371" s="508"/>
      <c r="AH371" s="508"/>
    </row>
    <row r="372" spans="1:62" s="28" customFormat="1" ht="15.75">
      <c r="A372" s="581" t="s">
        <v>107</v>
      </c>
      <c r="B372" s="605" t="s">
        <v>1932</v>
      </c>
      <c r="C372" s="215"/>
      <c r="D372" s="136" t="s">
        <v>1456</v>
      </c>
      <c r="E372" s="137"/>
      <c r="F372" s="138"/>
      <c r="G372" s="137"/>
      <c r="H372" s="416"/>
      <c r="I372" s="139">
        <f>I374</f>
        <v>30000</v>
      </c>
      <c r="J372" s="139">
        <f aca="true" t="shared" si="43" ref="J372:Z372">J374</f>
        <v>0</v>
      </c>
      <c r="K372" s="139">
        <f t="shared" si="43"/>
        <v>0</v>
      </c>
      <c r="L372" s="139">
        <f t="shared" si="43"/>
        <v>0</v>
      </c>
      <c r="M372" s="139">
        <f t="shared" si="43"/>
        <v>0</v>
      </c>
      <c r="N372" s="139">
        <f t="shared" si="43"/>
        <v>0</v>
      </c>
      <c r="O372" s="139">
        <f t="shared" si="43"/>
        <v>0</v>
      </c>
      <c r="P372" s="139">
        <f t="shared" si="43"/>
        <v>0</v>
      </c>
      <c r="Q372" s="139">
        <f t="shared" si="43"/>
        <v>0</v>
      </c>
      <c r="R372" s="139">
        <f t="shared" si="43"/>
        <v>0</v>
      </c>
      <c r="S372" s="139">
        <f t="shared" si="43"/>
        <v>0</v>
      </c>
      <c r="T372" s="139">
        <f t="shared" si="43"/>
        <v>0</v>
      </c>
      <c r="U372" s="139">
        <f t="shared" si="43"/>
        <v>0</v>
      </c>
      <c r="V372" s="139">
        <f t="shared" si="43"/>
        <v>0</v>
      </c>
      <c r="W372" s="139">
        <f t="shared" si="43"/>
        <v>30000</v>
      </c>
      <c r="X372" s="139">
        <f t="shared" si="43"/>
        <v>0</v>
      </c>
      <c r="Y372" s="139">
        <f t="shared" si="43"/>
        <v>0</v>
      </c>
      <c r="Z372" s="139">
        <f t="shared" si="43"/>
        <v>0</v>
      </c>
      <c r="AA372" s="407">
        <f t="shared" si="38"/>
        <v>30000</v>
      </c>
      <c r="AB372" s="30"/>
      <c r="AC372" s="59"/>
      <c r="AD372" s="514"/>
      <c r="AE372" s="509"/>
      <c r="AF372" s="509"/>
      <c r="AG372" s="509"/>
      <c r="AH372" s="509"/>
      <c r="AI372" s="30"/>
      <c r="AJ372" s="30"/>
      <c r="AK372" s="30"/>
      <c r="AL372" s="30"/>
      <c r="AM372" s="30"/>
      <c r="AN372" s="30"/>
      <c r="AO372" s="30"/>
      <c r="AP372" s="30"/>
      <c r="AQ372" s="30"/>
      <c r="AR372" s="30"/>
      <c r="AS372" s="30"/>
      <c r="AT372" s="30"/>
      <c r="AU372" s="30"/>
      <c r="AV372" s="30"/>
      <c r="AW372" s="30"/>
      <c r="AX372" s="30"/>
      <c r="AY372" s="30"/>
      <c r="AZ372" s="30"/>
      <c r="BA372" s="30"/>
      <c r="BB372" s="30"/>
      <c r="BC372" s="30"/>
      <c r="BD372" s="30"/>
      <c r="BE372" s="30"/>
      <c r="BF372" s="30"/>
      <c r="BG372" s="30"/>
      <c r="BH372" s="30"/>
      <c r="BI372" s="30"/>
      <c r="BJ372" s="30"/>
    </row>
    <row r="373" spans="1:34" s="45" customFormat="1" ht="31.5" customHeight="1" hidden="1">
      <c r="A373" s="582"/>
      <c r="B373" s="607"/>
      <c r="C373" s="212" t="s">
        <v>1228</v>
      </c>
      <c r="D373" s="141" t="s">
        <v>1229</v>
      </c>
      <c r="E373" s="142"/>
      <c r="F373" s="143"/>
      <c r="G373" s="142"/>
      <c r="H373" s="417"/>
      <c r="I373" s="144" t="e">
        <f>J373+K373+L373+M373+#REF!+#REF!</f>
        <v>#REF!</v>
      </c>
      <c r="J373" s="144"/>
      <c r="K373" s="144"/>
      <c r="L373" s="144"/>
      <c r="M373" s="144"/>
      <c r="N373" s="407"/>
      <c r="O373" s="407"/>
      <c r="P373" s="407"/>
      <c r="Q373" s="407"/>
      <c r="R373" s="407"/>
      <c r="S373" s="407"/>
      <c r="T373" s="407"/>
      <c r="U373" s="407"/>
      <c r="V373" s="407"/>
      <c r="W373" s="407"/>
      <c r="X373" s="407"/>
      <c r="Y373" s="407"/>
      <c r="Z373" s="407"/>
      <c r="AA373" s="407">
        <f t="shared" si="38"/>
        <v>0</v>
      </c>
      <c r="AC373" s="499"/>
      <c r="AD373" s="513"/>
      <c r="AE373" s="508"/>
      <c r="AF373" s="508"/>
      <c r="AG373" s="508"/>
      <c r="AH373" s="508"/>
    </row>
    <row r="374" spans="1:34" s="45" customFormat="1" ht="31.5" customHeight="1">
      <c r="A374" s="582"/>
      <c r="B374" s="607"/>
      <c r="C374" s="212"/>
      <c r="D374" s="141" t="s">
        <v>346</v>
      </c>
      <c r="E374" s="142"/>
      <c r="F374" s="143"/>
      <c r="G374" s="142"/>
      <c r="H374" s="417">
        <v>3132</v>
      </c>
      <c r="I374" s="144">
        <v>30000</v>
      </c>
      <c r="J374" s="144"/>
      <c r="K374" s="144"/>
      <c r="L374" s="144"/>
      <c r="M374" s="144"/>
      <c r="N374" s="407"/>
      <c r="O374" s="407"/>
      <c r="P374" s="407"/>
      <c r="Q374" s="407"/>
      <c r="R374" s="407"/>
      <c r="S374" s="407"/>
      <c r="T374" s="407"/>
      <c r="U374" s="407"/>
      <c r="V374" s="407"/>
      <c r="W374" s="407">
        <v>30000</v>
      </c>
      <c r="X374" s="407"/>
      <c r="Y374" s="407"/>
      <c r="Z374" s="407"/>
      <c r="AA374" s="407">
        <f t="shared" si="38"/>
        <v>30000</v>
      </c>
      <c r="AC374" s="499"/>
      <c r="AD374" s="513"/>
      <c r="AE374" s="508"/>
      <c r="AF374" s="508"/>
      <c r="AG374" s="508"/>
      <c r="AH374" s="508"/>
    </row>
    <row r="375" spans="1:34" s="45" customFormat="1" ht="30" customHeight="1" hidden="1">
      <c r="A375" s="645"/>
      <c r="B375" s="645"/>
      <c r="C375" s="212" t="s">
        <v>1230</v>
      </c>
      <c r="D375" s="141" t="s">
        <v>793</v>
      </c>
      <c r="E375" s="142"/>
      <c r="F375" s="143"/>
      <c r="G375" s="142"/>
      <c r="H375" s="417"/>
      <c r="I375" s="144" t="e">
        <f>J375+K375+L375+M375+#REF!+#REF!</f>
        <v>#REF!</v>
      </c>
      <c r="J375" s="286">
        <f>3-3</f>
        <v>0</v>
      </c>
      <c r="K375" s="144"/>
      <c r="L375" s="286"/>
      <c r="M375" s="144"/>
      <c r="N375" s="407"/>
      <c r="O375" s="407"/>
      <c r="P375" s="407"/>
      <c r="Q375" s="407"/>
      <c r="R375" s="407"/>
      <c r="S375" s="407"/>
      <c r="T375" s="407"/>
      <c r="U375" s="407"/>
      <c r="V375" s="407"/>
      <c r="W375" s="407"/>
      <c r="X375" s="407"/>
      <c r="Y375" s="407"/>
      <c r="Z375" s="407"/>
      <c r="AA375" s="407">
        <f t="shared" si="38"/>
        <v>0</v>
      </c>
      <c r="AC375" s="499"/>
      <c r="AD375" s="513"/>
      <c r="AE375" s="508"/>
      <c r="AF375" s="508"/>
      <c r="AG375" s="508"/>
      <c r="AH375" s="508"/>
    </row>
    <row r="376" spans="1:62" s="28" customFormat="1" ht="15.75">
      <c r="A376" s="581" t="s">
        <v>108</v>
      </c>
      <c r="B376" s="605" t="s">
        <v>794</v>
      </c>
      <c r="C376" s="215"/>
      <c r="D376" s="136" t="s">
        <v>1456</v>
      </c>
      <c r="E376" s="137"/>
      <c r="F376" s="159"/>
      <c r="G376" s="137"/>
      <c r="H376" s="416"/>
      <c r="I376" s="139">
        <f>I377</f>
        <v>106000</v>
      </c>
      <c r="J376" s="139">
        <f>J377</f>
        <v>0</v>
      </c>
      <c r="K376" s="139">
        <f>K377</f>
        <v>0</v>
      </c>
      <c r="L376" s="139">
        <f>L377</f>
        <v>0</v>
      </c>
      <c r="M376" s="139">
        <f>M377</f>
        <v>136000</v>
      </c>
      <c r="N376" s="139">
        <f aca="true" t="shared" si="44" ref="N376:Z376">N377</f>
        <v>0</v>
      </c>
      <c r="O376" s="139">
        <f t="shared" si="44"/>
        <v>0</v>
      </c>
      <c r="P376" s="139">
        <f t="shared" si="44"/>
        <v>0</v>
      </c>
      <c r="Q376" s="139">
        <f t="shared" si="44"/>
        <v>0</v>
      </c>
      <c r="R376" s="139">
        <f t="shared" si="44"/>
        <v>0</v>
      </c>
      <c r="S376" s="139">
        <f t="shared" si="44"/>
        <v>0</v>
      </c>
      <c r="T376" s="139">
        <f t="shared" si="44"/>
        <v>0</v>
      </c>
      <c r="U376" s="139">
        <f t="shared" si="44"/>
        <v>136000</v>
      </c>
      <c r="V376" s="139">
        <f t="shared" si="44"/>
        <v>0</v>
      </c>
      <c r="W376" s="139">
        <f t="shared" si="44"/>
        <v>0</v>
      </c>
      <c r="X376" s="139">
        <f t="shared" si="44"/>
        <v>-30000</v>
      </c>
      <c r="Y376" s="139">
        <f t="shared" si="44"/>
        <v>0</v>
      </c>
      <c r="Z376" s="139">
        <f t="shared" si="44"/>
        <v>0</v>
      </c>
      <c r="AA376" s="407">
        <f t="shared" si="38"/>
        <v>106000</v>
      </c>
      <c r="AB376" s="30"/>
      <c r="AC376" s="59"/>
      <c r="AD376" s="514"/>
      <c r="AE376" s="509"/>
      <c r="AF376" s="509"/>
      <c r="AG376" s="509"/>
      <c r="AH376" s="509"/>
      <c r="AI376" s="30"/>
      <c r="AJ376" s="30"/>
      <c r="AK376" s="30"/>
      <c r="AL376" s="30"/>
      <c r="AM376" s="30"/>
      <c r="AN376" s="30"/>
      <c r="AO376" s="30"/>
      <c r="AP376" s="30"/>
      <c r="AQ376" s="30"/>
      <c r="AR376" s="30"/>
      <c r="AS376" s="30"/>
      <c r="AT376" s="30"/>
      <c r="AU376" s="30"/>
      <c r="AV376" s="30"/>
      <c r="AW376" s="30"/>
      <c r="AX376" s="30"/>
      <c r="AY376" s="30"/>
      <c r="AZ376" s="30"/>
      <c r="BA376" s="30"/>
      <c r="BB376" s="30"/>
      <c r="BC376" s="30"/>
      <c r="BD376" s="30"/>
      <c r="BE376" s="30"/>
      <c r="BF376" s="30"/>
      <c r="BG376" s="30"/>
      <c r="BH376" s="30"/>
      <c r="BI376" s="30"/>
      <c r="BJ376" s="30"/>
    </row>
    <row r="377" spans="1:34" s="45" customFormat="1" ht="31.5">
      <c r="A377" s="583"/>
      <c r="B377" s="606"/>
      <c r="C377" s="212" t="s">
        <v>1058</v>
      </c>
      <c r="D377" s="141" t="s">
        <v>272</v>
      </c>
      <c r="E377" s="142"/>
      <c r="F377" s="143"/>
      <c r="G377" s="142"/>
      <c r="H377" s="417">
        <v>3110</v>
      </c>
      <c r="I377" s="144">
        <f>136000-30000</f>
        <v>106000</v>
      </c>
      <c r="J377" s="144"/>
      <c r="K377" s="144"/>
      <c r="L377" s="144"/>
      <c r="M377" s="144">
        <v>136000</v>
      </c>
      <c r="N377" s="407"/>
      <c r="O377" s="407"/>
      <c r="P377" s="407"/>
      <c r="Q377" s="407"/>
      <c r="R377" s="407"/>
      <c r="S377" s="407"/>
      <c r="T377" s="407"/>
      <c r="U377" s="407">
        <v>136000</v>
      </c>
      <c r="V377" s="407"/>
      <c r="W377" s="407"/>
      <c r="X377" s="407">
        <v>-30000</v>
      </c>
      <c r="Y377" s="407"/>
      <c r="Z377" s="407"/>
      <c r="AA377" s="407">
        <f t="shared" si="38"/>
        <v>106000</v>
      </c>
      <c r="AC377" s="499"/>
      <c r="AD377" s="513">
        <v>136000</v>
      </c>
      <c r="AE377" s="508"/>
      <c r="AF377" s="508"/>
      <c r="AG377" s="508"/>
      <c r="AH377" s="507" t="s">
        <v>1862</v>
      </c>
    </row>
    <row r="378" spans="1:34" s="45" customFormat="1" ht="15.75" hidden="1">
      <c r="A378" s="581" t="s">
        <v>156</v>
      </c>
      <c r="B378" s="605" t="s">
        <v>409</v>
      </c>
      <c r="C378" s="212"/>
      <c r="D378" s="136" t="s">
        <v>1456</v>
      </c>
      <c r="E378" s="158"/>
      <c r="F378" s="159"/>
      <c r="G378" s="158"/>
      <c r="H378" s="419"/>
      <c r="I378" s="139">
        <f>I379</f>
        <v>0</v>
      </c>
      <c r="J378" s="139"/>
      <c r="K378" s="139"/>
      <c r="L378" s="139"/>
      <c r="M378" s="139"/>
      <c r="N378" s="468">
        <f>N379</f>
        <v>0</v>
      </c>
      <c r="O378" s="468">
        <f aca="true" t="shared" si="45" ref="O378:Z378">O379</f>
        <v>0</v>
      </c>
      <c r="P378" s="468">
        <f t="shared" si="45"/>
        <v>0</v>
      </c>
      <c r="Q378" s="468">
        <f t="shared" si="45"/>
        <v>0</v>
      </c>
      <c r="R378" s="468">
        <f t="shared" si="45"/>
        <v>0</v>
      </c>
      <c r="S378" s="468">
        <f t="shared" si="45"/>
        <v>0</v>
      </c>
      <c r="T378" s="468">
        <f t="shared" si="45"/>
        <v>0</v>
      </c>
      <c r="U378" s="468">
        <f t="shared" si="45"/>
        <v>60000</v>
      </c>
      <c r="V378" s="468">
        <f t="shared" si="45"/>
        <v>0</v>
      </c>
      <c r="W378" s="468">
        <f t="shared" si="45"/>
        <v>-60000</v>
      </c>
      <c r="X378" s="468">
        <f t="shared" si="45"/>
        <v>0</v>
      </c>
      <c r="Y378" s="468">
        <f t="shared" si="45"/>
        <v>0</v>
      </c>
      <c r="Z378" s="468">
        <f t="shared" si="45"/>
        <v>0</v>
      </c>
      <c r="AA378" s="407">
        <f t="shared" si="38"/>
        <v>0</v>
      </c>
      <c r="AC378" s="499"/>
      <c r="AD378" s="513"/>
      <c r="AE378" s="508"/>
      <c r="AF378" s="508"/>
      <c r="AG378" s="508"/>
      <c r="AH378" s="508"/>
    </row>
    <row r="379" spans="1:34" s="45" customFormat="1" ht="47.25" hidden="1">
      <c r="A379" s="583"/>
      <c r="B379" s="606"/>
      <c r="C379" s="212"/>
      <c r="D379" s="141" t="s">
        <v>431</v>
      </c>
      <c r="E379" s="142"/>
      <c r="F379" s="143"/>
      <c r="G379" s="142"/>
      <c r="H379" s="417">
        <v>3132</v>
      </c>
      <c r="I379" s="144">
        <f>60000-60000</f>
        <v>0</v>
      </c>
      <c r="J379" s="144"/>
      <c r="K379" s="144"/>
      <c r="L379" s="144"/>
      <c r="M379" s="144"/>
      <c r="N379" s="407"/>
      <c r="O379" s="407"/>
      <c r="P379" s="407"/>
      <c r="Q379" s="407"/>
      <c r="R379" s="407"/>
      <c r="S379" s="407"/>
      <c r="T379" s="407"/>
      <c r="U379" s="407">
        <v>60000</v>
      </c>
      <c r="V379" s="407"/>
      <c r="W379" s="407">
        <v>-60000</v>
      </c>
      <c r="X379" s="407"/>
      <c r="Y379" s="407"/>
      <c r="Z379" s="407"/>
      <c r="AA379" s="407">
        <f t="shared" si="38"/>
        <v>0</v>
      </c>
      <c r="AC379" s="499"/>
      <c r="AD379" s="513"/>
      <c r="AE379" s="508"/>
      <c r="AF379" s="508"/>
      <c r="AG379" s="508"/>
      <c r="AH379" s="508"/>
    </row>
    <row r="380" spans="1:34" s="45" customFormat="1" ht="15.75">
      <c r="A380" s="581" t="s">
        <v>109</v>
      </c>
      <c r="B380" s="605" t="s">
        <v>1450</v>
      </c>
      <c r="C380" s="212"/>
      <c r="D380" s="136" t="s">
        <v>1456</v>
      </c>
      <c r="E380" s="137"/>
      <c r="F380" s="159"/>
      <c r="G380" s="137"/>
      <c r="H380" s="416"/>
      <c r="I380" s="139">
        <f>I381</f>
        <v>109146.02</v>
      </c>
      <c r="J380" s="139">
        <f aca="true" t="shared" si="46" ref="J380:Z380">SUM(J381:J382)</f>
        <v>0</v>
      </c>
      <c r="K380" s="139">
        <f t="shared" si="46"/>
        <v>0</v>
      </c>
      <c r="L380" s="139">
        <f t="shared" si="46"/>
        <v>109146.02</v>
      </c>
      <c r="M380" s="139">
        <f t="shared" si="46"/>
        <v>0</v>
      </c>
      <c r="N380" s="139">
        <f t="shared" si="46"/>
        <v>0</v>
      </c>
      <c r="O380" s="139">
        <f t="shared" si="46"/>
        <v>109146.02</v>
      </c>
      <c r="P380" s="139">
        <f t="shared" si="46"/>
        <v>0</v>
      </c>
      <c r="Q380" s="139">
        <f t="shared" si="46"/>
        <v>0</v>
      </c>
      <c r="R380" s="139">
        <f t="shared" si="46"/>
        <v>0</v>
      </c>
      <c r="S380" s="139">
        <f t="shared" si="46"/>
        <v>0</v>
      </c>
      <c r="T380" s="139">
        <f t="shared" si="46"/>
        <v>0</v>
      </c>
      <c r="U380" s="139">
        <f t="shared" si="46"/>
        <v>0</v>
      </c>
      <c r="V380" s="139">
        <f t="shared" si="46"/>
        <v>0</v>
      </c>
      <c r="W380" s="139">
        <f t="shared" si="46"/>
        <v>0</v>
      </c>
      <c r="X380" s="139">
        <f t="shared" si="46"/>
        <v>0</v>
      </c>
      <c r="Y380" s="139">
        <f t="shared" si="46"/>
        <v>0</v>
      </c>
      <c r="Z380" s="139">
        <f t="shared" si="46"/>
        <v>0</v>
      </c>
      <c r="AA380" s="407">
        <f t="shared" si="38"/>
        <v>109146.02</v>
      </c>
      <c r="AC380" s="499"/>
      <c r="AD380" s="513"/>
      <c r="AE380" s="508"/>
      <c r="AF380" s="508"/>
      <c r="AG380" s="508"/>
      <c r="AH380" s="508"/>
    </row>
    <row r="381" spans="1:34" s="45" customFormat="1" ht="31.5" customHeight="1">
      <c r="A381" s="582"/>
      <c r="B381" s="607"/>
      <c r="C381" s="212" t="s">
        <v>757</v>
      </c>
      <c r="D381" s="141" t="s">
        <v>758</v>
      </c>
      <c r="E381" s="142"/>
      <c r="F381" s="143"/>
      <c r="G381" s="172"/>
      <c r="H381" s="417">
        <v>3110</v>
      </c>
      <c r="I381" s="144">
        <v>109146.02</v>
      </c>
      <c r="J381" s="144"/>
      <c r="K381" s="144"/>
      <c r="L381" s="144">
        <v>109146.02</v>
      </c>
      <c r="M381" s="144"/>
      <c r="N381" s="407"/>
      <c r="O381" s="144">
        <v>109146.02</v>
      </c>
      <c r="P381" s="407"/>
      <c r="Q381" s="407"/>
      <c r="R381" s="407"/>
      <c r="S381" s="407"/>
      <c r="T381" s="407"/>
      <c r="U381" s="407"/>
      <c r="V381" s="407"/>
      <c r="W381" s="407"/>
      <c r="X381" s="407"/>
      <c r="Y381" s="407"/>
      <c r="Z381" s="144">
        <f>109146.02-66221-2501-23395-9607.26-7421.76</f>
        <v>0</v>
      </c>
      <c r="AA381" s="407">
        <f t="shared" si="38"/>
        <v>109146.02</v>
      </c>
      <c r="AC381" s="499"/>
      <c r="AD381" s="513">
        <v>109146.02</v>
      </c>
      <c r="AE381" s="508"/>
      <c r="AF381" s="508"/>
      <c r="AG381" s="508"/>
      <c r="AH381" s="508"/>
    </row>
    <row r="382" spans="1:34" s="45" customFormat="1" ht="31.5" customHeight="1" hidden="1">
      <c r="A382" s="583"/>
      <c r="B382" s="606"/>
      <c r="C382" s="212"/>
      <c r="D382" s="141" t="s">
        <v>1266</v>
      </c>
      <c r="E382" s="142"/>
      <c r="F382" s="143"/>
      <c r="G382" s="172"/>
      <c r="H382" s="420"/>
      <c r="I382" s="144" t="e">
        <f>J382+K382+L382+M382+#REF!+#REF!</f>
        <v>#REF!</v>
      </c>
      <c r="J382" s="144"/>
      <c r="K382" s="144"/>
      <c r="L382" s="144"/>
      <c r="M382" s="144"/>
      <c r="N382" s="407"/>
      <c r="O382" s="407"/>
      <c r="P382" s="407"/>
      <c r="Q382" s="407"/>
      <c r="R382" s="407"/>
      <c r="S382" s="407"/>
      <c r="T382" s="407"/>
      <c r="U382" s="407"/>
      <c r="V382" s="407"/>
      <c r="W382" s="407"/>
      <c r="X382" s="407"/>
      <c r="Y382" s="407"/>
      <c r="Z382" s="407"/>
      <c r="AA382" s="407">
        <f t="shared" si="38"/>
        <v>0</v>
      </c>
      <c r="AC382" s="499"/>
      <c r="AD382" s="513"/>
      <c r="AE382" s="508"/>
      <c r="AF382" s="508"/>
      <c r="AG382" s="508"/>
      <c r="AH382" s="508"/>
    </row>
    <row r="383" spans="1:34" s="30" customFormat="1" ht="15.75">
      <c r="A383" s="581" t="s">
        <v>1459</v>
      </c>
      <c r="B383" s="605" t="s">
        <v>1256</v>
      </c>
      <c r="C383" s="135"/>
      <c r="D383" s="136" t="s">
        <v>1267</v>
      </c>
      <c r="E383" s="137"/>
      <c r="F383" s="159"/>
      <c r="G383" s="137"/>
      <c r="H383" s="416"/>
      <c r="I383" s="139">
        <f>SUM(I386:I387)</f>
        <v>470190.6</v>
      </c>
      <c r="J383" s="139">
        <f aca="true" t="shared" si="47" ref="J383:Z383">SUM(J384:J387)</f>
        <v>0</v>
      </c>
      <c r="K383" s="139">
        <f t="shared" si="47"/>
        <v>0</v>
      </c>
      <c r="L383" s="139">
        <f t="shared" si="47"/>
        <v>170190.6</v>
      </c>
      <c r="M383" s="139">
        <f t="shared" si="47"/>
        <v>300000</v>
      </c>
      <c r="N383" s="139">
        <f t="shared" si="47"/>
        <v>0</v>
      </c>
      <c r="O383" s="139">
        <f t="shared" si="47"/>
        <v>170190.6</v>
      </c>
      <c r="P383" s="139">
        <f t="shared" si="47"/>
        <v>0</v>
      </c>
      <c r="Q383" s="139">
        <f t="shared" si="47"/>
        <v>0</v>
      </c>
      <c r="R383" s="139">
        <f t="shared" si="47"/>
        <v>6000</v>
      </c>
      <c r="S383" s="139">
        <f t="shared" si="47"/>
        <v>98000</v>
      </c>
      <c r="T383" s="139">
        <f t="shared" si="47"/>
        <v>0</v>
      </c>
      <c r="U383" s="139">
        <f t="shared" si="47"/>
        <v>196000</v>
      </c>
      <c r="V383" s="139">
        <f t="shared" si="47"/>
        <v>0</v>
      </c>
      <c r="W383" s="139">
        <f t="shared" si="47"/>
        <v>0</v>
      </c>
      <c r="X383" s="139">
        <f t="shared" si="47"/>
        <v>0</v>
      </c>
      <c r="Y383" s="139">
        <f t="shared" si="47"/>
        <v>0</v>
      </c>
      <c r="Z383" s="139">
        <f t="shared" si="47"/>
        <v>185882.97</v>
      </c>
      <c r="AA383" s="407">
        <f t="shared" si="38"/>
        <v>284307.63</v>
      </c>
      <c r="AC383" s="59"/>
      <c r="AD383" s="514"/>
      <c r="AE383" s="509"/>
      <c r="AF383" s="509"/>
      <c r="AG383" s="509"/>
      <c r="AH383" s="509"/>
    </row>
    <row r="384" spans="1:34" s="45" customFormat="1" ht="31.5" hidden="1">
      <c r="A384" s="582"/>
      <c r="B384" s="607"/>
      <c r="C384" s="167" t="s">
        <v>1268</v>
      </c>
      <c r="D384" s="141" t="s">
        <v>2113</v>
      </c>
      <c r="E384" s="142"/>
      <c r="F384" s="143"/>
      <c r="G384" s="172"/>
      <c r="H384" s="420"/>
      <c r="I384" s="144" t="e">
        <f>J384+K384+L384+M384+#REF!+#REF!</f>
        <v>#REF!</v>
      </c>
      <c r="J384" s="144"/>
      <c r="K384" s="144"/>
      <c r="L384" s="144"/>
      <c r="M384" s="144"/>
      <c r="N384" s="407"/>
      <c r="O384" s="407"/>
      <c r="P384" s="407"/>
      <c r="Q384" s="407"/>
      <c r="R384" s="407"/>
      <c r="S384" s="407"/>
      <c r="T384" s="407"/>
      <c r="U384" s="407"/>
      <c r="V384" s="407"/>
      <c r="W384" s="407"/>
      <c r="X384" s="407"/>
      <c r="Y384" s="407"/>
      <c r="Z384" s="407"/>
      <c r="AA384" s="407">
        <f t="shared" si="38"/>
        <v>0</v>
      </c>
      <c r="AC384" s="499"/>
      <c r="AD384" s="513"/>
      <c r="AE384" s="508"/>
      <c r="AF384" s="508"/>
      <c r="AG384" s="508"/>
      <c r="AH384" s="508"/>
    </row>
    <row r="385" spans="1:34" s="45" customFormat="1" ht="31.5" hidden="1">
      <c r="A385" s="582"/>
      <c r="B385" s="607"/>
      <c r="C385" s="167" t="s">
        <v>1058</v>
      </c>
      <c r="D385" s="141" t="s">
        <v>103</v>
      </c>
      <c r="E385" s="142"/>
      <c r="F385" s="143"/>
      <c r="G385" s="172"/>
      <c r="H385" s="420"/>
      <c r="I385" s="144" t="e">
        <f>J385+K385+L385+M385+#REF!+#REF!</f>
        <v>#REF!</v>
      </c>
      <c r="J385" s="144"/>
      <c r="K385" s="144"/>
      <c r="L385" s="144"/>
      <c r="M385" s="144"/>
      <c r="N385" s="407"/>
      <c r="O385" s="407"/>
      <c r="P385" s="407"/>
      <c r="Q385" s="407"/>
      <c r="R385" s="407"/>
      <c r="S385" s="407"/>
      <c r="T385" s="407"/>
      <c r="U385" s="407"/>
      <c r="V385" s="407"/>
      <c r="W385" s="407"/>
      <c r="X385" s="407"/>
      <c r="Y385" s="407"/>
      <c r="Z385" s="407"/>
      <c r="AA385" s="407">
        <f t="shared" si="38"/>
        <v>0</v>
      </c>
      <c r="AC385" s="499"/>
      <c r="AD385" s="513"/>
      <c r="AE385" s="508"/>
      <c r="AF385" s="508"/>
      <c r="AG385" s="508"/>
      <c r="AH385" s="508"/>
    </row>
    <row r="386" spans="1:34" s="45" customFormat="1" ht="47.25">
      <c r="A386" s="582"/>
      <c r="B386" s="607"/>
      <c r="C386" s="167" t="s">
        <v>1483</v>
      </c>
      <c r="D386" s="141" t="s">
        <v>1880</v>
      </c>
      <c r="E386" s="142">
        <v>270</v>
      </c>
      <c r="F386" s="143">
        <f>100%-((E386-G386)/E386)</f>
        <v>1</v>
      </c>
      <c r="G386" s="142">
        <v>270</v>
      </c>
      <c r="H386" s="417">
        <v>3132</v>
      </c>
      <c r="I386" s="144">
        <v>170190.6</v>
      </c>
      <c r="J386" s="144"/>
      <c r="K386" s="144"/>
      <c r="L386" s="144">
        <v>170190.6</v>
      </c>
      <c r="M386" s="144"/>
      <c r="N386" s="407"/>
      <c r="O386" s="144">
        <v>170190.6</v>
      </c>
      <c r="P386" s="407"/>
      <c r="Q386" s="407"/>
      <c r="R386" s="407"/>
      <c r="S386" s="407"/>
      <c r="T386" s="407"/>
      <c r="U386" s="407"/>
      <c r="V386" s="407"/>
      <c r="W386" s="407"/>
      <c r="X386" s="407"/>
      <c r="Y386" s="407"/>
      <c r="Z386" s="144">
        <v>170190.6</v>
      </c>
      <c r="AA386" s="407">
        <f t="shared" si="38"/>
        <v>0</v>
      </c>
      <c r="AC386" s="499"/>
      <c r="AD386" s="513">
        <v>170190.6</v>
      </c>
      <c r="AE386" s="508"/>
      <c r="AF386" s="508"/>
      <c r="AG386" s="508"/>
      <c r="AH386" s="508"/>
    </row>
    <row r="387" spans="1:34" s="45" customFormat="1" ht="31.5">
      <c r="A387" s="582"/>
      <c r="B387" s="607"/>
      <c r="C387" s="167" t="s">
        <v>1600</v>
      </c>
      <c r="D387" s="141" t="s">
        <v>273</v>
      </c>
      <c r="E387" s="142"/>
      <c r="F387" s="143"/>
      <c r="G387" s="172"/>
      <c r="H387" s="417">
        <v>3132</v>
      </c>
      <c r="I387" s="144">
        <v>300000</v>
      </c>
      <c r="J387" s="144"/>
      <c r="K387" s="144"/>
      <c r="L387" s="144"/>
      <c r="M387" s="144">
        <v>300000</v>
      </c>
      <c r="N387" s="407"/>
      <c r="O387" s="407"/>
      <c r="P387" s="407"/>
      <c r="Q387" s="407"/>
      <c r="R387" s="407">
        <v>6000</v>
      </c>
      <c r="S387" s="407">
        <v>98000</v>
      </c>
      <c r="T387" s="407"/>
      <c r="U387" s="407">
        <v>196000</v>
      </c>
      <c r="V387" s="407"/>
      <c r="W387" s="407"/>
      <c r="X387" s="407"/>
      <c r="Y387" s="407"/>
      <c r="Z387" s="407">
        <f>7535.75+8156.62</f>
        <v>15692.37</v>
      </c>
      <c r="AA387" s="407">
        <f t="shared" si="38"/>
        <v>284307.63</v>
      </c>
      <c r="AC387" s="499"/>
      <c r="AD387" s="513">
        <v>300000</v>
      </c>
      <c r="AE387" s="508"/>
      <c r="AF387" s="507" t="s">
        <v>1497</v>
      </c>
      <c r="AG387" s="507" t="s">
        <v>495</v>
      </c>
      <c r="AH387" s="508"/>
    </row>
    <row r="388" spans="1:34" s="30" customFormat="1" ht="15.75" customHeight="1">
      <c r="A388" s="157" t="s">
        <v>983</v>
      </c>
      <c r="B388" s="166" t="s">
        <v>863</v>
      </c>
      <c r="C388" s="135"/>
      <c r="D388" s="196"/>
      <c r="E388" s="172"/>
      <c r="F388" s="143"/>
      <c r="G388" s="172"/>
      <c r="H388" s="420"/>
      <c r="I388" s="169">
        <f aca="true" t="shared" si="48" ref="I388:Z388">I397+I403+I389</f>
        <v>1142038.2</v>
      </c>
      <c r="J388" s="169">
        <f t="shared" si="48"/>
        <v>0</v>
      </c>
      <c r="K388" s="169">
        <f t="shared" si="48"/>
        <v>0</v>
      </c>
      <c r="L388" s="169">
        <f t="shared" si="48"/>
        <v>64920.24</v>
      </c>
      <c r="M388" s="169">
        <f t="shared" si="48"/>
        <v>1331617.96</v>
      </c>
      <c r="N388" s="169">
        <f t="shared" si="48"/>
        <v>0</v>
      </c>
      <c r="O388" s="169">
        <f t="shared" si="48"/>
        <v>64920.24</v>
      </c>
      <c r="P388" s="169">
        <f t="shared" si="48"/>
        <v>0</v>
      </c>
      <c r="Q388" s="169">
        <f t="shared" si="48"/>
        <v>0</v>
      </c>
      <c r="R388" s="169">
        <f t="shared" si="48"/>
        <v>45900</v>
      </c>
      <c r="S388" s="169">
        <f t="shared" si="48"/>
        <v>239100</v>
      </c>
      <c r="T388" s="169">
        <f t="shared" si="48"/>
        <v>320450</v>
      </c>
      <c r="U388" s="169">
        <f t="shared" si="48"/>
        <v>280300</v>
      </c>
      <c r="V388" s="169">
        <f t="shared" si="48"/>
        <v>134979.76</v>
      </c>
      <c r="W388" s="169">
        <f t="shared" si="48"/>
        <v>26388.2</v>
      </c>
      <c r="X388" s="169">
        <f t="shared" si="48"/>
        <v>30000</v>
      </c>
      <c r="Y388" s="169">
        <f t="shared" si="48"/>
        <v>0</v>
      </c>
      <c r="Z388" s="169">
        <f t="shared" si="48"/>
        <v>394520.83</v>
      </c>
      <c r="AA388" s="407">
        <f t="shared" si="38"/>
        <v>747517.37</v>
      </c>
      <c r="AC388" s="59"/>
      <c r="AD388" s="514"/>
      <c r="AE388" s="509"/>
      <c r="AF388" s="509"/>
      <c r="AG388" s="509"/>
      <c r="AH388" s="509"/>
    </row>
    <row r="389" spans="1:62" s="28" customFormat="1" ht="15.75">
      <c r="A389" s="581" t="s">
        <v>1882</v>
      </c>
      <c r="B389" s="605" t="s">
        <v>1894</v>
      </c>
      <c r="C389" s="135"/>
      <c r="D389" s="136" t="s">
        <v>1456</v>
      </c>
      <c r="E389" s="137"/>
      <c r="F389" s="159"/>
      <c r="G389" s="137"/>
      <c r="H389" s="416"/>
      <c r="I389" s="139">
        <f aca="true" t="shared" si="49" ref="I389:Z389">SUM(I390:I396)</f>
        <v>482950</v>
      </c>
      <c r="J389" s="139">
        <f t="shared" si="49"/>
        <v>0</v>
      </c>
      <c r="K389" s="139">
        <f t="shared" si="49"/>
        <v>0</v>
      </c>
      <c r="L389" s="139">
        <f t="shared" si="49"/>
        <v>0</v>
      </c>
      <c r="M389" s="139">
        <f t="shared" si="49"/>
        <v>459950</v>
      </c>
      <c r="N389" s="139">
        <f t="shared" si="49"/>
        <v>0</v>
      </c>
      <c r="O389" s="139">
        <f t="shared" si="49"/>
        <v>0</v>
      </c>
      <c r="P389" s="139">
        <f t="shared" si="49"/>
        <v>0</v>
      </c>
      <c r="Q389" s="139">
        <f t="shared" si="49"/>
        <v>0</v>
      </c>
      <c r="R389" s="139">
        <f t="shared" si="49"/>
        <v>34500</v>
      </c>
      <c r="S389" s="139">
        <f t="shared" si="49"/>
        <v>56000</v>
      </c>
      <c r="T389" s="139">
        <f t="shared" si="49"/>
        <v>259450</v>
      </c>
      <c r="U389" s="139">
        <f t="shared" si="49"/>
        <v>80000</v>
      </c>
      <c r="V389" s="139">
        <f t="shared" si="49"/>
        <v>0</v>
      </c>
      <c r="W389" s="139">
        <f t="shared" si="49"/>
        <v>23000</v>
      </c>
      <c r="X389" s="139">
        <f t="shared" si="49"/>
        <v>30000</v>
      </c>
      <c r="Y389" s="139">
        <f t="shared" si="49"/>
        <v>0</v>
      </c>
      <c r="Z389" s="139">
        <f t="shared" si="49"/>
        <v>169866.89</v>
      </c>
      <c r="AA389" s="407">
        <f t="shared" si="38"/>
        <v>313083.11</v>
      </c>
      <c r="AB389" s="30"/>
      <c r="AC389" s="59"/>
      <c r="AD389" s="514"/>
      <c r="AE389" s="509"/>
      <c r="AF389" s="509"/>
      <c r="AG389" s="509"/>
      <c r="AH389" s="509"/>
      <c r="AI389" s="30"/>
      <c r="AJ389" s="30"/>
      <c r="AK389" s="30"/>
      <c r="AL389" s="30"/>
      <c r="AM389" s="30"/>
      <c r="AN389" s="30"/>
      <c r="AO389" s="30"/>
      <c r="AP389" s="30"/>
      <c r="AQ389" s="30"/>
      <c r="AR389" s="30"/>
      <c r="AS389" s="30"/>
      <c r="AT389" s="30"/>
      <c r="AU389" s="30"/>
      <c r="AV389" s="30"/>
      <c r="AW389" s="30"/>
      <c r="AX389" s="30"/>
      <c r="AY389" s="30"/>
      <c r="AZ389" s="30"/>
      <c r="BA389" s="30"/>
      <c r="BB389" s="30"/>
      <c r="BC389" s="30"/>
      <c r="BD389" s="30"/>
      <c r="BE389" s="30"/>
      <c r="BF389" s="30"/>
      <c r="BG389" s="30"/>
      <c r="BH389" s="30"/>
      <c r="BI389" s="30"/>
      <c r="BJ389" s="30"/>
    </row>
    <row r="390" spans="1:34" s="369" customFormat="1" ht="31.5">
      <c r="A390" s="582"/>
      <c r="B390" s="607"/>
      <c r="C390" s="135" t="s">
        <v>1058</v>
      </c>
      <c r="D390" s="359" t="s">
        <v>1231</v>
      </c>
      <c r="E390" s="172"/>
      <c r="F390" s="143"/>
      <c r="G390" s="172"/>
      <c r="H390" s="417">
        <v>3132</v>
      </c>
      <c r="I390" s="144">
        <f>151000+23000</f>
        <v>174000</v>
      </c>
      <c r="J390" s="144"/>
      <c r="K390" s="144"/>
      <c r="L390" s="49"/>
      <c r="M390" s="49">
        <v>151000</v>
      </c>
      <c r="N390" s="407"/>
      <c r="O390" s="439"/>
      <c r="P390" s="439"/>
      <c r="Q390" s="439"/>
      <c r="R390" s="439"/>
      <c r="S390" s="439"/>
      <c r="T390" s="439">
        <v>151000</v>
      </c>
      <c r="U390" s="439"/>
      <c r="V390" s="439"/>
      <c r="W390" s="439">
        <v>23000</v>
      </c>
      <c r="X390" s="439"/>
      <c r="Y390" s="439"/>
      <c r="Z390" s="407">
        <v>85000</v>
      </c>
      <c r="AA390" s="407">
        <f t="shared" si="38"/>
        <v>89000</v>
      </c>
      <c r="AC390" s="503"/>
      <c r="AD390" s="512">
        <v>151000</v>
      </c>
      <c r="AE390" s="507"/>
      <c r="AF390" s="507" t="s">
        <v>1498</v>
      </c>
      <c r="AG390" s="507"/>
      <c r="AH390" s="507"/>
    </row>
    <row r="391" spans="1:34" s="369" customFormat="1" ht="31.5">
      <c r="A391" s="582"/>
      <c r="B391" s="607"/>
      <c r="C391" s="135"/>
      <c r="D391" s="359" t="s">
        <v>1232</v>
      </c>
      <c r="E391" s="142">
        <v>82.945</v>
      </c>
      <c r="F391" s="143">
        <f>100%-((E391-G391)/E391)</f>
        <v>1</v>
      </c>
      <c r="G391" s="142">
        <v>82.945</v>
      </c>
      <c r="H391" s="417">
        <v>3110</v>
      </c>
      <c r="I391" s="144">
        <v>15000</v>
      </c>
      <c r="J391" s="144"/>
      <c r="K391" s="144"/>
      <c r="L391" s="49"/>
      <c r="M391" s="49">
        <v>15000</v>
      </c>
      <c r="N391" s="407"/>
      <c r="O391" s="439"/>
      <c r="P391" s="439"/>
      <c r="Q391" s="439"/>
      <c r="R391" s="439"/>
      <c r="S391" s="439"/>
      <c r="T391" s="439"/>
      <c r="U391" s="439"/>
      <c r="V391" s="439"/>
      <c r="W391" s="439"/>
      <c r="X391" s="439">
        <v>15000</v>
      </c>
      <c r="Y391" s="439"/>
      <c r="Z391" s="407">
        <v>13575</v>
      </c>
      <c r="AA391" s="407">
        <f t="shared" si="38"/>
        <v>1425</v>
      </c>
      <c r="AC391" s="503"/>
      <c r="AD391" s="512">
        <v>15000</v>
      </c>
      <c r="AE391" s="507"/>
      <c r="AF391" s="507"/>
      <c r="AG391" s="507"/>
      <c r="AH391" s="507"/>
    </row>
    <row r="392" spans="1:34" s="369" customFormat="1" ht="31.5">
      <c r="A392" s="582"/>
      <c r="B392" s="607"/>
      <c r="C392" s="135"/>
      <c r="D392" s="358" t="s">
        <v>1233</v>
      </c>
      <c r="E392" s="142"/>
      <c r="F392" s="143"/>
      <c r="G392" s="142"/>
      <c r="H392" s="417">
        <v>3132</v>
      </c>
      <c r="I392" s="144">
        <v>25000</v>
      </c>
      <c r="J392" s="144"/>
      <c r="K392" s="144"/>
      <c r="L392" s="49"/>
      <c r="M392" s="49">
        <v>25000</v>
      </c>
      <c r="N392" s="407"/>
      <c r="O392" s="439"/>
      <c r="P392" s="439"/>
      <c r="Q392" s="439"/>
      <c r="R392" s="439">
        <v>3000</v>
      </c>
      <c r="S392" s="439">
        <v>7000</v>
      </c>
      <c r="T392" s="439"/>
      <c r="U392" s="439"/>
      <c r="V392" s="439"/>
      <c r="W392" s="439"/>
      <c r="X392" s="439">
        <v>15000</v>
      </c>
      <c r="Y392" s="439"/>
      <c r="Z392" s="407">
        <f>3286.15+2007.24</f>
        <v>5293.39</v>
      </c>
      <c r="AA392" s="407">
        <f t="shared" si="38"/>
        <v>19706.61</v>
      </c>
      <c r="AC392" s="503"/>
      <c r="AD392" s="512">
        <v>25000</v>
      </c>
      <c r="AE392" s="507"/>
      <c r="AF392" s="507" t="s">
        <v>1499</v>
      </c>
      <c r="AG392" s="507" t="s">
        <v>495</v>
      </c>
      <c r="AH392" s="507"/>
    </row>
    <row r="393" spans="1:34" s="369" customFormat="1" ht="31.5">
      <c r="A393" s="582"/>
      <c r="B393" s="607"/>
      <c r="C393" s="135"/>
      <c r="D393" s="358" t="s">
        <v>750</v>
      </c>
      <c r="E393" s="142"/>
      <c r="F393" s="143"/>
      <c r="G393" s="142"/>
      <c r="H393" s="417">
        <v>3132</v>
      </c>
      <c r="I393" s="144">
        <v>60000</v>
      </c>
      <c r="J393" s="144"/>
      <c r="K393" s="144"/>
      <c r="L393" s="49"/>
      <c r="M393" s="49">
        <v>60000</v>
      </c>
      <c r="N393" s="407"/>
      <c r="O393" s="439"/>
      <c r="P393" s="439"/>
      <c r="Q393" s="439"/>
      <c r="R393" s="439">
        <v>3000</v>
      </c>
      <c r="S393" s="439">
        <v>22000</v>
      </c>
      <c r="T393" s="439"/>
      <c r="U393" s="439">
        <v>35000</v>
      </c>
      <c r="V393" s="439"/>
      <c r="W393" s="439"/>
      <c r="X393" s="439"/>
      <c r="Y393" s="439"/>
      <c r="Z393" s="407">
        <f>3638.38+8489.55</f>
        <v>12127.93</v>
      </c>
      <c r="AA393" s="407">
        <f t="shared" si="38"/>
        <v>47872.07</v>
      </c>
      <c r="AC393" s="503"/>
      <c r="AD393" s="512">
        <v>60000</v>
      </c>
      <c r="AE393" s="507"/>
      <c r="AF393" s="507" t="s">
        <v>1500</v>
      </c>
      <c r="AG393" s="507" t="s">
        <v>495</v>
      </c>
      <c r="AH393" s="507"/>
    </row>
    <row r="394" spans="1:34" s="369" customFormat="1" ht="15.75">
      <c r="A394" s="582"/>
      <c r="B394" s="607"/>
      <c r="C394" s="135"/>
      <c r="D394" s="359" t="s">
        <v>1948</v>
      </c>
      <c r="E394" s="142"/>
      <c r="F394" s="143"/>
      <c r="G394" s="142"/>
      <c r="H394" s="417">
        <v>3132</v>
      </c>
      <c r="I394" s="144">
        <v>75000</v>
      </c>
      <c r="J394" s="144"/>
      <c r="K394" s="144"/>
      <c r="L394" s="49"/>
      <c r="M394" s="49">
        <v>75000</v>
      </c>
      <c r="N394" s="407"/>
      <c r="O394" s="439"/>
      <c r="P394" s="439"/>
      <c r="Q394" s="439"/>
      <c r="R394" s="439">
        <v>3000</v>
      </c>
      <c r="S394" s="439">
        <v>27000</v>
      </c>
      <c r="T394" s="439"/>
      <c r="U394" s="439">
        <v>45000</v>
      </c>
      <c r="V394" s="439"/>
      <c r="W394" s="439"/>
      <c r="X394" s="439"/>
      <c r="Y394" s="439"/>
      <c r="Z394" s="407">
        <f>4434.89+10348.08+17400</f>
        <v>32182.97</v>
      </c>
      <c r="AA394" s="407">
        <f t="shared" si="38"/>
        <v>42817.03</v>
      </c>
      <c r="AC394" s="503"/>
      <c r="AD394" s="512">
        <v>75000</v>
      </c>
      <c r="AE394" s="507"/>
      <c r="AF394" s="507" t="s">
        <v>1501</v>
      </c>
      <c r="AG394" s="507" t="s">
        <v>495</v>
      </c>
      <c r="AH394" s="507"/>
    </row>
    <row r="395" spans="1:34" s="369" customFormat="1" ht="25.5">
      <c r="A395" s="582"/>
      <c r="B395" s="607"/>
      <c r="C395" s="135"/>
      <c r="D395" s="359" t="s">
        <v>1949</v>
      </c>
      <c r="E395" s="142"/>
      <c r="F395" s="143"/>
      <c r="G395" s="142"/>
      <c r="H395" s="417">
        <v>3132</v>
      </c>
      <c r="I395" s="144">
        <v>84950</v>
      </c>
      <c r="J395" s="144"/>
      <c r="K395" s="144"/>
      <c r="L395" s="49"/>
      <c r="M395" s="49">
        <v>84950</v>
      </c>
      <c r="N395" s="407"/>
      <c r="O395" s="439"/>
      <c r="P395" s="439"/>
      <c r="Q395" s="439"/>
      <c r="R395" s="439">
        <v>25500</v>
      </c>
      <c r="S395" s="439"/>
      <c r="T395" s="439">
        <v>59450</v>
      </c>
      <c r="U395" s="439"/>
      <c r="V395" s="439"/>
      <c r="W395" s="439"/>
      <c r="X395" s="439"/>
      <c r="Y395" s="439"/>
      <c r="Z395" s="407">
        <v>21687.6</v>
      </c>
      <c r="AA395" s="407">
        <f t="shared" si="38"/>
        <v>63262.4</v>
      </c>
      <c r="AC395" s="503"/>
      <c r="AD395" s="512">
        <v>84950</v>
      </c>
      <c r="AE395" s="507"/>
      <c r="AF395" s="507" t="s">
        <v>1502</v>
      </c>
      <c r="AG395" s="507" t="s">
        <v>1503</v>
      </c>
      <c r="AH395" s="507"/>
    </row>
    <row r="396" spans="1:34" s="369" customFormat="1" ht="31.5">
      <c r="A396" s="583"/>
      <c r="B396" s="606"/>
      <c r="C396" s="135" t="s">
        <v>1485</v>
      </c>
      <c r="D396" s="359" t="s">
        <v>1998</v>
      </c>
      <c r="E396" s="142">
        <v>173.783</v>
      </c>
      <c r="F396" s="143">
        <f>100%-((E396-G396)/E396)</f>
        <v>1</v>
      </c>
      <c r="G396" s="142">
        <v>173.783</v>
      </c>
      <c r="H396" s="417">
        <v>3110</v>
      </c>
      <c r="I396" s="144">
        <v>49000</v>
      </c>
      <c r="J396" s="144"/>
      <c r="K396" s="144"/>
      <c r="L396" s="49"/>
      <c r="M396" s="49">
        <v>49000</v>
      </c>
      <c r="N396" s="407"/>
      <c r="O396" s="439"/>
      <c r="P396" s="439"/>
      <c r="Q396" s="439"/>
      <c r="R396" s="439"/>
      <c r="S396" s="439"/>
      <c r="T396" s="439">
        <v>49000</v>
      </c>
      <c r="U396" s="439"/>
      <c r="V396" s="439"/>
      <c r="W396" s="439"/>
      <c r="X396" s="439"/>
      <c r="Y396" s="439"/>
      <c r="Z396" s="407"/>
      <c r="AA396" s="407">
        <f t="shared" si="38"/>
        <v>49000</v>
      </c>
      <c r="AC396" s="503"/>
      <c r="AD396" s="512"/>
      <c r="AE396" s="507"/>
      <c r="AF396" s="507"/>
      <c r="AG396" s="507"/>
      <c r="AH396" s="507" t="s">
        <v>1862</v>
      </c>
    </row>
    <row r="397" spans="1:34" s="30" customFormat="1" ht="15.75">
      <c r="A397" s="581" t="s">
        <v>1103</v>
      </c>
      <c r="B397" s="605" t="s">
        <v>984</v>
      </c>
      <c r="C397" s="167"/>
      <c r="D397" s="216" t="s">
        <v>1456</v>
      </c>
      <c r="E397" s="137"/>
      <c r="F397" s="159"/>
      <c r="G397" s="137"/>
      <c r="H397" s="416"/>
      <c r="I397" s="139">
        <f>I398</f>
        <v>30000</v>
      </c>
      <c r="J397" s="139">
        <f>SUM(J398:J402)</f>
        <v>0</v>
      </c>
      <c r="K397" s="139">
        <f>SUM(K398:K402)</f>
        <v>0</v>
      </c>
      <c r="L397" s="139">
        <f>SUM(L398:L402)</f>
        <v>0</v>
      </c>
      <c r="M397" s="139">
        <f>SUM(M398:M401)</f>
        <v>30000</v>
      </c>
      <c r="N397" s="139">
        <f aca="true" t="shared" si="50" ref="N397:Z397">SUM(N398:N401)</f>
        <v>0</v>
      </c>
      <c r="O397" s="139">
        <f t="shared" si="50"/>
        <v>0</v>
      </c>
      <c r="P397" s="139">
        <f t="shared" si="50"/>
        <v>0</v>
      </c>
      <c r="Q397" s="139">
        <f t="shared" si="50"/>
        <v>0</v>
      </c>
      <c r="R397" s="139">
        <f t="shared" si="50"/>
        <v>0</v>
      </c>
      <c r="S397" s="139">
        <f t="shared" si="50"/>
        <v>0</v>
      </c>
      <c r="T397" s="139">
        <f t="shared" si="50"/>
        <v>0</v>
      </c>
      <c r="U397" s="139">
        <f t="shared" si="50"/>
        <v>0</v>
      </c>
      <c r="V397" s="139">
        <f t="shared" si="50"/>
        <v>30000</v>
      </c>
      <c r="W397" s="139">
        <f t="shared" si="50"/>
        <v>0</v>
      </c>
      <c r="X397" s="139">
        <f t="shared" si="50"/>
        <v>0</v>
      </c>
      <c r="Y397" s="139">
        <f t="shared" si="50"/>
        <v>0</v>
      </c>
      <c r="Z397" s="139">
        <f t="shared" si="50"/>
        <v>30000</v>
      </c>
      <c r="AA397" s="407">
        <f t="shared" si="38"/>
        <v>0</v>
      </c>
      <c r="AC397" s="59"/>
      <c r="AD397" s="512"/>
      <c r="AE397" s="507"/>
      <c r="AF397" s="507"/>
      <c r="AG397" s="507"/>
      <c r="AH397" s="507"/>
    </row>
    <row r="398" spans="1:34" s="30" customFormat="1" ht="31.5">
      <c r="A398" s="582"/>
      <c r="B398" s="607"/>
      <c r="C398" s="167" t="s">
        <v>1487</v>
      </c>
      <c r="D398" s="217" t="s">
        <v>1999</v>
      </c>
      <c r="E398" s="142"/>
      <c r="F398" s="143"/>
      <c r="G398" s="142"/>
      <c r="H398" s="417">
        <v>3110</v>
      </c>
      <c r="I398" s="144">
        <v>30000</v>
      </c>
      <c r="J398" s="144"/>
      <c r="K398" s="144"/>
      <c r="L398" s="144"/>
      <c r="M398" s="144">
        <v>30000</v>
      </c>
      <c r="N398" s="407"/>
      <c r="O398" s="439"/>
      <c r="P398" s="439"/>
      <c r="Q398" s="439"/>
      <c r="R398" s="439"/>
      <c r="S398" s="439"/>
      <c r="T398" s="439"/>
      <c r="U398" s="439"/>
      <c r="V398" s="439">
        <v>30000</v>
      </c>
      <c r="W398" s="439"/>
      <c r="X398" s="439"/>
      <c r="Y398" s="439"/>
      <c r="Z398" s="439">
        <v>30000</v>
      </c>
      <c r="AA398" s="407">
        <f t="shared" si="38"/>
        <v>0</v>
      </c>
      <c r="AC398" s="59"/>
      <c r="AD398" s="512">
        <v>30000</v>
      </c>
      <c r="AE398" s="507"/>
      <c r="AF398" s="507"/>
      <c r="AG398" s="507"/>
      <c r="AH398" s="507"/>
    </row>
    <row r="399" spans="1:34" s="30" customFormat="1" ht="31.5" hidden="1">
      <c r="A399" s="582"/>
      <c r="B399" s="607"/>
      <c r="C399" s="167" t="s">
        <v>1925</v>
      </c>
      <c r="D399" s="217" t="s">
        <v>59</v>
      </c>
      <c r="E399" s="142"/>
      <c r="F399" s="143"/>
      <c r="G399" s="142"/>
      <c r="H399" s="417"/>
      <c r="I399" s="144" t="e">
        <f>J399+K399+L399+M399+#REF!+#REF!</f>
        <v>#REF!</v>
      </c>
      <c r="J399" s="144"/>
      <c r="K399" s="144"/>
      <c r="L399" s="144"/>
      <c r="M399" s="144"/>
      <c r="N399" s="407"/>
      <c r="O399" s="439"/>
      <c r="P399" s="439"/>
      <c r="Q399" s="439"/>
      <c r="R399" s="439"/>
      <c r="S399" s="439"/>
      <c r="T399" s="439"/>
      <c r="U399" s="439"/>
      <c r="V399" s="439"/>
      <c r="W399" s="439"/>
      <c r="X399" s="439"/>
      <c r="Y399" s="439"/>
      <c r="Z399" s="439"/>
      <c r="AA399" s="407">
        <f t="shared" si="38"/>
        <v>0</v>
      </c>
      <c r="AC399" s="59"/>
      <c r="AD399" s="512"/>
      <c r="AE399" s="507"/>
      <c r="AF399" s="507"/>
      <c r="AG399" s="507"/>
      <c r="AH399" s="507"/>
    </row>
    <row r="400" spans="1:34" s="30" customFormat="1" ht="31.5" hidden="1">
      <c r="A400" s="582"/>
      <c r="B400" s="607"/>
      <c r="C400" s="167" t="s">
        <v>1058</v>
      </c>
      <c r="D400" s="217" t="s">
        <v>60</v>
      </c>
      <c r="E400" s="142"/>
      <c r="F400" s="143"/>
      <c r="G400" s="142"/>
      <c r="H400" s="417"/>
      <c r="I400" s="144" t="e">
        <f>J400+K400+L400+M400+#REF!+#REF!</f>
        <v>#REF!</v>
      </c>
      <c r="J400" s="144"/>
      <c r="K400" s="144"/>
      <c r="L400" s="144"/>
      <c r="M400" s="144"/>
      <c r="N400" s="407"/>
      <c r="O400" s="439"/>
      <c r="P400" s="439"/>
      <c r="Q400" s="439"/>
      <c r="R400" s="439"/>
      <c r="S400" s="439"/>
      <c r="T400" s="439"/>
      <c r="U400" s="439"/>
      <c r="V400" s="439"/>
      <c r="W400" s="439"/>
      <c r="X400" s="439"/>
      <c r="Y400" s="439"/>
      <c r="Z400" s="439"/>
      <c r="AA400" s="407">
        <f t="shared" si="38"/>
        <v>0</v>
      </c>
      <c r="AC400" s="59"/>
      <c r="AD400" s="512"/>
      <c r="AE400" s="507"/>
      <c r="AF400" s="507"/>
      <c r="AG400" s="507"/>
      <c r="AH400" s="507"/>
    </row>
    <row r="401" spans="1:34" s="30" customFormat="1" ht="31.5" hidden="1">
      <c r="A401" s="582"/>
      <c r="B401" s="607"/>
      <c r="C401" s="167" t="s">
        <v>61</v>
      </c>
      <c r="D401" s="217" t="s">
        <v>1612</v>
      </c>
      <c r="E401" s="142"/>
      <c r="F401" s="143"/>
      <c r="G401" s="142"/>
      <c r="H401" s="417"/>
      <c r="I401" s="144" t="e">
        <f>J401+K401+L401+M401+#REF!+#REF!</f>
        <v>#REF!</v>
      </c>
      <c r="J401" s="144"/>
      <c r="K401" s="144"/>
      <c r="L401" s="144"/>
      <c r="M401" s="144"/>
      <c r="N401" s="407"/>
      <c r="O401" s="439"/>
      <c r="P401" s="439"/>
      <c r="Q401" s="439"/>
      <c r="R401" s="439"/>
      <c r="S401" s="439"/>
      <c r="T401" s="439"/>
      <c r="U401" s="439"/>
      <c r="V401" s="439"/>
      <c r="W401" s="439"/>
      <c r="X401" s="439"/>
      <c r="Y401" s="439"/>
      <c r="Z401" s="439"/>
      <c r="AA401" s="407">
        <f t="shared" si="38"/>
        <v>0</v>
      </c>
      <c r="AC401" s="59"/>
      <c r="AD401" s="512"/>
      <c r="AE401" s="507"/>
      <c r="AF401" s="507"/>
      <c r="AG401" s="507"/>
      <c r="AH401" s="507"/>
    </row>
    <row r="402" spans="1:34" s="30" customFormat="1" ht="15.75" hidden="1">
      <c r="A402" s="645"/>
      <c r="B402" s="645"/>
      <c r="C402" s="167"/>
      <c r="D402" s="217" t="s">
        <v>413</v>
      </c>
      <c r="E402" s="142"/>
      <c r="F402" s="143"/>
      <c r="G402" s="142"/>
      <c r="H402" s="417"/>
      <c r="I402" s="144" t="e">
        <f>J402+K402+L402+M402+#REF!+#REF!</f>
        <v>#REF!</v>
      </c>
      <c r="J402" s="286">
        <f>10.78-10.78</f>
        <v>0</v>
      </c>
      <c r="K402" s="144"/>
      <c r="L402" s="286"/>
      <c r="M402" s="144"/>
      <c r="N402" s="407"/>
      <c r="O402" s="439"/>
      <c r="P402" s="439"/>
      <c r="Q402" s="439"/>
      <c r="R402" s="439"/>
      <c r="S402" s="439"/>
      <c r="T402" s="439"/>
      <c r="U402" s="439"/>
      <c r="V402" s="439"/>
      <c r="W402" s="439"/>
      <c r="X402" s="439"/>
      <c r="Y402" s="439"/>
      <c r="Z402" s="439"/>
      <c r="AA402" s="407">
        <f t="shared" si="38"/>
        <v>0</v>
      </c>
      <c r="AC402" s="59"/>
      <c r="AD402" s="512"/>
      <c r="AE402" s="507"/>
      <c r="AF402" s="507"/>
      <c r="AG402" s="507"/>
      <c r="AH402" s="507"/>
    </row>
    <row r="403" spans="1:34" s="40" customFormat="1" ht="15.75" customHeight="1">
      <c r="A403" s="581" t="s">
        <v>414</v>
      </c>
      <c r="B403" s="605" t="s">
        <v>985</v>
      </c>
      <c r="C403" s="195"/>
      <c r="D403" s="136" t="s">
        <v>1456</v>
      </c>
      <c r="E403" s="158"/>
      <c r="F403" s="159"/>
      <c r="G403" s="158"/>
      <c r="H403" s="419"/>
      <c r="I403" s="139">
        <f>SUM(I406:I417)</f>
        <v>629088.2</v>
      </c>
      <c r="J403" s="139">
        <f aca="true" t="shared" si="51" ref="J403:Z403">SUM(J404:J417)</f>
        <v>0</v>
      </c>
      <c r="K403" s="139">
        <f t="shared" si="51"/>
        <v>0</v>
      </c>
      <c r="L403" s="139">
        <f t="shared" si="51"/>
        <v>64920.24</v>
      </c>
      <c r="M403" s="139">
        <f t="shared" si="51"/>
        <v>841667.96</v>
      </c>
      <c r="N403" s="139">
        <f t="shared" si="51"/>
        <v>0</v>
      </c>
      <c r="O403" s="139">
        <f t="shared" si="51"/>
        <v>64920.24</v>
      </c>
      <c r="P403" s="139">
        <f t="shared" si="51"/>
        <v>0</v>
      </c>
      <c r="Q403" s="139">
        <f t="shared" si="51"/>
        <v>0</v>
      </c>
      <c r="R403" s="139">
        <f t="shared" si="51"/>
        <v>11400</v>
      </c>
      <c r="S403" s="139">
        <f t="shared" si="51"/>
        <v>183100</v>
      </c>
      <c r="T403" s="139">
        <f t="shared" si="51"/>
        <v>61000</v>
      </c>
      <c r="U403" s="139">
        <f t="shared" si="51"/>
        <v>200300</v>
      </c>
      <c r="V403" s="139">
        <f t="shared" si="51"/>
        <v>104979.76</v>
      </c>
      <c r="W403" s="139">
        <f t="shared" si="51"/>
        <v>3388.2</v>
      </c>
      <c r="X403" s="139">
        <f t="shared" si="51"/>
        <v>0</v>
      </c>
      <c r="Y403" s="139">
        <f t="shared" si="51"/>
        <v>0</v>
      </c>
      <c r="Z403" s="139">
        <f t="shared" si="51"/>
        <v>194653.94</v>
      </c>
      <c r="AA403" s="407">
        <f t="shared" si="38"/>
        <v>434434.26</v>
      </c>
      <c r="AC403" s="498"/>
      <c r="AD403" s="512"/>
      <c r="AE403" s="507"/>
      <c r="AF403" s="507"/>
      <c r="AG403" s="507"/>
      <c r="AH403" s="507"/>
    </row>
    <row r="404" spans="1:34" s="40" customFormat="1" ht="15.75" customHeight="1" hidden="1">
      <c r="A404" s="582"/>
      <c r="B404" s="607"/>
      <c r="C404" s="167" t="s">
        <v>673</v>
      </c>
      <c r="D404" s="217" t="s">
        <v>975</v>
      </c>
      <c r="E404" s="142"/>
      <c r="F404" s="143"/>
      <c r="G404" s="142"/>
      <c r="H404" s="417"/>
      <c r="I404" s="144" t="e">
        <f>J404+K404+L404+M404+#REF!+#REF!</f>
        <v>#REF!</v>
      </c>
      <c r="J404" s="144"/>
      <c r="K404" s="144"/>
      <c r="L404" s="144"/>
      <c r="M404" s="144"/>
      <c r="N404" s="407"/>
      <c r="O404" s="407"/>
      <c r="P404" s="407"/>
      <c r="Q404" s="407"/>
      <c r="R404" s="407"/>
      <c r="S404" s="407"/>
      <c r="T404" s="407"/>
      <c r="U404" s="407"/>
      <c r="V404" s="407"/>
      <c r="W404" s="407"/>
      <c r="X404" s="407"/>
      <c r="Y404" s="139">
        <f>SUM(Y405:Y420)</f>
        <v>0</v>
      </c>
      <c r="Z404" s="407"/>
      <c r="AA404" s="407">
        <f t="shared" si="38"/>
        <v>0</v>
      </c>
      <c r="AC404" s="498"/>
      <c r="AD404" s="512"/>
      <c r="AE404" s="507"/>
      <c r="AF404" s="507"/>
      <c r="AG404" s="507"/>
      <c r="AH404" s="507"/>
    </row>
    <row r="405" spans="1:34" s="40" customFormat="1" ht="15.75" customHeight="1" hidden="1">
      <c r="A405" s="582"/>
      <c r="B405" s="607"/>
      <c r="C405" s="167" t="s">
        <v>1600</v>
      </c>
      <c r="D405" s="217" t="s">
        <v>976</v>
      </c>
      <c r="E405" s="142"/>
      <c r="F405" s="143"/>
      <c r="G405" s="142"/>
      <c r="H405" s="417"/>
      <c r="I405" s="144" t="e">
        <f>J405+K405+L405+M405+#REF!+#REF!</f>
        <v>#REF!</v>
      </c>
      <c r="J405" s="144"/>
      <c r="K405" s="144"/>
      <c r="L405" s="144"/>
      <c r="M405" s="144"/>
      <c r="N405" s="407"/>
      <c r="O405" s="407"/>
      <c r="P405" s="407"/>
      <c r="Q405" s="407"/>
      <c r="R405" s="407"/>
      <c r="S405" s="407"/>
      <c r="T405" s="407"/>
      <c r="U405" s="407"/>
      <c r="V405" s="407"/>
      <c r="W405" s="407"/>
      <c r="X405" s="407"/>
      <c r="Y405" s="139">
        <f>SUM(Y406:Y421)</f>
        <v>0</v>
      </c>
      <c r="Z405" s="407"/>
      <c r="AA405" s="407">
        <f t="shared" si="38"/>
        <v>0</v>
      </c>
      <c r="AC405" s="498"/>
      <c r="AD405" s="512"/>
      <c r="AE405" s="507"/>
      <c r="AF405" s="507"/>
      <c r="AG405" s="507"/>
      <c r="AH405" s="507"/>
    </row>
    <row r="406" spans="1:34" s="40" customFormat="1" ht="35.25" customHeight="1">
      <c r="A406" s="582"/>
      <c r="B406" s="607"/>
      <c r="C406" s="167" t="s">
        <v>671</v>
      </c>
      <c r="D406" s="217" t="s">
        <v>1467</v>
      </c>
      <c r="E406" s="142">
        <v>167.65</v>
      </c>
      <c r="F406" s="143">
        <f>100%-((E406-G406)/E406)</f>
        <v>1</v>
      </c>
      <c r="G406" s="142">
        <v>167.65</v>
      </c>
      <c r="H406" s="417">
        <v>3132</v>
      </c>
      <c r="I406" s="144">
        <v>63420.24</v>
      </c>
      <c r="J406" s="144"/>
      <c r="K406" s="144"/>
      <c r="L406" s="144">
        <v>63420.24</v>
      </c>
      <c r="M406" s="144"/>
      <c r="N406" s="407"/>
      <c r="O406" s="144">
        <v>63420.24</v>
      </c>
      <c r="P406" s="407"/>
      <c r="Q406" s="407"/>
      <c r="R406" s="407"/>
      <c r="S406" s="407"/>
      <c r="T406" s="407"/>
      <c r="U406" s="407"/>
      <c r="V406" s="407"/>
      <c r="W406" s="407"/>
      <c r="X406" s="407"/>
      <c r="Y406" s="407"/>
      <c r="Z406" s="144">
        <v>63420.24</v>
      </c>
      <c r="AA406" s="407">
        <f t="shared" si="38"/>
        <v>0</v>
      </c>
      <c r="AC406" s="498"/>
      <c r="AD406" s="512">
        <v>63420.24</v>
      </c>
      <c r="AE406" s="507"/>
      <c r="AF406" s="507"/>
      <c r="AG406" s="507"/>
      <c r="AH406" s="507"/>
    </row>
    <row r="407" spans="1:34" s="40" customFormat="1" ht="31.5">
      <c r="A407" s="582"/>
      <c r="B407" s="607"/>
      <c r="C407" s="167" t="s">
        <v>670</v>
      </c>
      <c r="D407" s="217" t="s">
        <v>743</v>
      </c>
      <c r="E407" s="142">
        <v>160</v>
      </c>
      <c r="F407" s="143">
        <f>100%-((E407-G407)/E407)</f>
        <v>1</v>
      </c>
      <c r="G407" s="142">
        <v>160</v>
      </c>
      <c r="H407" s="417">
        <v>3132</v>
      </c>
      <c r="I407" s="144">
        <v>1500</v>
      </c>
      <c r="J407" s="144"/>
      <c r="K407" s="144"/>
      <c r="L407" s="144">
        <v>1500</v>
      </c>
      <c r="M407" s="144"/>
      <c r="N407" s="407"/>
      <c r="O407" s="144">
        <v>1500</v>
      </c>
      <c r="P407" s="407"/>
      <c r="Q407" s="407"/>
      <c r="R407" s="407"/>
      <c r="S407" s="407"/>
      <c r="T407" s="407"/>
      <c r="U407" s="407"/>
      <c r="V407" s="407"/>
      <c r="W407" s="407"/>
      <c r="X407" s="407"/>
      <c r="Y407" s="407"/>
      <c r="Z407" s="144">
        <v>1500</v>
      </c>
      <c r="AA407" s="407">
        <f t="shared" si="38"/>
        <v>0</v>
      </c>
      <c r="AC407" s="498"/>
      <c r="AD407" s="512">
        <v>1500</v>
      </c>
      <c r="AE407" s="507"/>
      <c r="AF407" s="507"/>
      <c r="AG407" s="507"/>
      <c r="AH407" s="507"/>
    </row>
    <row r="408" spans="1:34" s="362" customFormat="1" ht="31.5">
      <c r="A408" s="582"/>
      <c r="B408" s="607"/>
      <c r="C408" s="167" t="s">
        <v>15</v>
      </c>
      <c r="D408" s="359" t="s">
        <v>744</v>
      </c>
      <c r="E408" s="142"/>
      <c r="F408" s="143"/>
      <c r="G408" s="142"/>
      <c r="H408" s="417">
        <v>3110</v>
      </c>
      <c r="I408" s="144">
        <v>60000</v>
      </c>
      <c r="J408" s="286"/>
      <c r="K408" s="144"/>
      <c r="L408" s="49"/>
      <c r="M408" s="49">
        <v>60000</v>
      </c>
      <c r="N408" s="407"/>
      <c r="O408" s="407"/>
      <c r="P408" s="407"/>
      <c r="Q408" s="407"/>
      <c r="R408" s="407"/>
      <c r="S408" s="407"/>
      <c r="T408" s="407">
        <f>30000+6000</f>
        <v>36000</v>
      </c>
      <c r="U408" s="407"/>
      <c r="V408" s="407">
        <f>30000-6000</f>
        <v>24000</v>
      </c>
      <c r="W408" s="407"/>
      <c r="X408" s="407"/>
      <c r="Y408" s="407"/>
      <c r="Z408" s="407">
        <f>12000+12000+12000+12000+12000</f>
        <v>60000</v>
      </c>
      <c r="AA408" s="407">
        <f t="shared" si="38"/>
        <v>0</v>
      </c>
      <c r="AC408" s="501"/>
      <c r="AD408" s="512">
        <v>60000</v>
      </c>
      <c r="AE408" s="507">
        <v>24000</v>
      </c>
      <c r="AF408" s="507" t="s">
        <v>1504</v>
      </c>
      <c r="AG408" s="507"/>
      <c r="AH408" s="507"/>
    </row>
    <row r="409" spans="1:34" s="362" customFormat="1" ht="47.25">
      <c r="A409" s="582"/>
      <c r="B409" s="607"/>
      <c r="C409" s="167" t="s">
        <v>17</v>
      </c>
      <c r="D409" s="359" t="s">
        <v>1933</v>
      </c>
      <c r="E409" s="142"/>
      <c r="F409" s="143"/>
      <c r="G409" s="142"/>
      <c r="H409" s="417">
        <v>3110</v>
      </c>
      <c r="I409" s="144">
        <v>31000</v>
      </c>
      <c r="J409" s="286"/>
      <c r="K409" s="144"/>
      <c r="L409" s="49"/>
      <c r="M409" s="49">
        <v>31000</v>
      </c>
      <c r="N409" s="407"/>
      <c r="O409" s="407"/>
      <c r="P409" s="407"/>
      <c r="Q409" s="407"/>
      <c r="R409" s="407"/>
      <c r="S409" s="407"/>
      <c r="T409" s="407">
        <f>31000-6000</f>
        <v>25000</v>
      </c>
      <c r="U409" s="407"/>
      <c r="V409" s="407">
        <v>6000</v>
      </c>
      <c r="W409" s="407"/>
      <c r="X409" s="407"/>
      <c r="Y409" s="407"/>
      <c r="Z409" s="407"/>
      <c r="AA409" s="407">
        <f aca="true" t="shared" si="52" ref="AA409:AA476">N409+O409+P409+Q409+R409+S409+T409+U409+V409+W409+X409-Z409</f>
        <v>31000</v>
      </c>
      <c r="AC409" s="501"/>
      <c r="AD409" s="512">
        <v>31000</v>
      </c>
      <c r="AE409" s="507"/>
      <c r="AF409" s="507"/>
      <c r="AG409" s="507"/>
      <c r="AH409" s="507" t="s">
        <v>1862</v>
      </c>
    </row>
    <row r="410" spans="1:34" s="362" customFormat="1" ht="31.5">
      <c r="A410" s="582"/>
      <c r="B410" s="607"/>
      <c r="C410" s="167"/>
      <c r="D410" s="358" t="s">
        <v>874</v>
      </c>
      <c r="E410" s="142"/>
      <c r="F410" s="143"/>
      <c r="G410" s="142"/>
      <c r="H410" s="417">
        <v>3132</v>
      </c>
      <c r="I410" s="144">
        <v>74979.76</v>
      </c>
      <c r="J410" s="286"/>
      <c r="K410" s="144"/>
      <c r="L410" s="49"/>
      <c r="M410" s="49">
        <v>74979.76</v>
      </c>
      <c r="N410" s="407"/>
      <c r="O410" s="407"/>
      <c r="P410" s="407"/>
      <c r="Q410" s="407"/>
      <c r="R410" s="407"/>
      <c r="S410" s="407"/>
      <c r="T410" s="407"/>
      <c r="U410" s="407"/>
      <c r="V410" s="407">
        <v>74979.76</v>
      </c>
      <c r="W410" s="407"/>
      <c r="X410" s="407"/>
      <c r="Y410" s="407"/>
      <c r="Z410" s="407"/>
      <c r="AA410" s="407">
        <f t="shared" si="52"/>
        <v>74979.76</v>
      </c>
      <c r="AC410" s="501"/>
      <c r="AD410" s="512">
        <v>74979.76</v>
      </c>
      <c r="AE410" s="507"/>
      <c r="AF410" s="507" t="s">
        <v>1505</v>
      </c>
      <c r="AG410" s="507" t="s">
        <v>504</v>
      </c>
      <c r="AH410" s="507"/>
    </row>
    <row r="411" spans="1:34" s="362" customFormat="1" ht="31.5">
      <c r="A411" s="582"/>
      <c r="B411" s="607"/>
      <c r="C411" s="167"/>
      <c r="D411" s="358" t="s">
        <v>417</v>
      </c>
      <c r="E411" s="142"/>
      <c r="F411" s="143"/>
      <c r="G411" s="142"/>
      <c r="H411" s="417">
        <v>3132</v>
      </c>
      <c r="I411" s="144">
        <v>25000</v>
      </c>
      <c r="J411" s="286"/>
      <c r="K411" s="144"/>
      <c r="L411" s="49"/>
      <c r="M411" s="49">
        <v>25000</v>
      </c>
      <c r="N411" s="407"/>
      <c r="O411" s="407"/>
      <c r="P411" s="407"/>
      <c r="Q411" s="407"/>
      <c r="R411" s="407">
        <v>1500</v>
      </c>
      <c r="S411" s="407">
        <v>9500</v>
      </c>
      <c r="T411" s="407"/>
      <c r="U411" s="407">
        <v>14000</v>
      </c>
      <c r="V411" s="407"/>
      <c r="W411" s="407"/>
      <c r="X411" s="407"/>
      <c r="Y411" s="407"/>
      <c r="Z411" s="407"/>
      <c r="AA411" s="407">
        <f t="shared" si="52"/>
        <v>25000</v>
      </c>
      <c r="AC411" s="501"/>
      <c r="AD411" s="512">
        <v>25000</v>
      </c>
      <c r="AE411" s="507"/>
      <c r="AF411" s="507" t="s">
        <v>1506</v>
      </c>
      <c r="AG411" s="507" t="s">
        <v>495</v>
      </c>
      <c r="AH411" s="507"/>
    </row>
    <row r="412" spans="1:34" s="362" customFormat="1" ht="31.5">
      <c r="A412" s="582"/>
      <c r="B412" s="607"/>
      <c r="C412" s="167"/>
      <c r="D412" s="358" t="s">
        <v>875</v>
      </c>
      <c r="E412" s="142"/>
      <c r="F412" s="143"/>
      <c r="G412" s="142"/>
      <c r="H412" s="417">
        <v>3132</v>
      </c>
      <c r="I412" s="144">
        <f>60000-50000</f>
        <v>10000</v>
      </c>
      <c r="J412" s="286"/>
      <c r="K412" s="144"/>
      <c r="L412" s="49"/>
      <c r="M412" s="49">
        <v>60000</v>
      </c>
      <c r="N412" s="407"/>
      <c r="O412" s="407"/>
      <c r="P412" s="407"/>
      <c r="Q412" s="407"/>
      <c r="R412" s="407">
        <v>900</v>
      </c>
      <c r="S412" s="407">
        <v>22100</v>
      </c>
      <c r="T412" s="407"/>
      <c r="U412" s="407">
        <v>37000</v>
      </c>
      <c r="V412" s="407"/>
      <c r="W412" s="407">
        <v>-50000</v>
      </c>
      <c r="X412" s="407"/>
      <c r="Y412" s="407"/>
      <c r="Z412" s="407"/>
      <c r="AA412" s="407">
        <f t="shared" si="52"/>
        <v>10000</v>
      </c>
      <c r="AC412" s="501"/>
      <c r="AD412" s="512">
        <v>60000</v>
      </c>
      <c r="AE412" s="507"/>
      <c r="AF412" s="507" t="s">
        <v>1507</v>
      </c>
      <c r="AG412" s="507" t="s">
        <v>495</v>
      </c>
      <c r="AH412" s="507"/>
    </row>
    <row r="413" spans="1:34" s="362" customFormat="1" ht="31.5">
      <c r="A413" s="582"/>
      <c r="B413" s="607"/>
      <c r="C413" s="167"/>
      <c r="D413" s="358" t="s">
        <v>876</v>
      </c>
      <c r="E413" s="142"/>
      <c r="F413" s="143"/>
      <c r="G413" s="142"/>
      <c r="H413" s="417">
        <v>3132</v>
      </c>
      <c r="I413" s="144">
        <f>225000-120000-57500</f>
        <v>47500</v>
      </c>
      <c r="J413" s="286"/>
      <c r="K413" s="144"/>
      <c r="L413" s="49"/>
      <c r="M413" s="49">
        <v>225000</v>
      </c>
      <c r="N413" s="407"/>
      <c r="O413" s="407"/>
      <c r="P413" s="407"/>
      <c r="Q413" s="407"/>
      <c r="R413" s="407">
        <v>4500</v>
      </c>
      <c r="S413" s="407">
        <v>71000</v>
      </c>
      <c r="T413" s="407"/>
      <c r="U413" s="407">
        <v>149500</v>
      </c>
      <c r="V413" s="407"/>
      <c r="W413" s="407">
        <f>-120000-57500</f>
        <v>-177500</v>
      </c>
      <c r="X413" s="407"/>
      <c r="Y413" s="407"/>
      <c r="Z413" s="407">
        <v>12834.6</v>
      </c>
      <c r="AA413" s="407">
        <f t="shared" si="52"/>
        <v>34665.4</v>
      </c>
      <c r="AC413" s="501"/>
      <c r="AD413" s="512">
        <v>225000</v>
      </c>
      <c r="AE413" s="507"/>
      <c r="AF413" s="507" t="s">
        <v>1508</v>
      </c>
      <c r="AG413" s="507" t="s">
        <v>495</v>
      </c>
      <c r="AH413" s="507"/>
    </row>
    <row r="414" spans="1:34" s="362" customFormat="1" ht="30.75" customHeight="1">
      <c r="A414" s="582"/>
      <c r="B414" s="607"/>
      <c r="C414" s="167"/>
      <c r="D414" s="358" t="s">
        <v>877</v>
      </c>
      <c r="E414" s="142"/>
      <c r="F414" s="143"/>
      <c r="G414" s="142"/>
      <c r="H414" s="417">
        <v>3132</v>
      </c>
      <c r="I414" s="144">
        <f>250000-200000</f>
        <v>50000</v>
      </c>
      <c r="J414" s="286"/>
      <c r="K414" s="144"/>
      <c r="L414" s="49"/>
      <c r="M414" s="49">
        <v>250000</v>
      </c>
      <c r="N414" s="407"/>
      <c r="O414" s="407"/>
      <c r="P414" s="407"/>
      <c r="Q414" s="407"/>
      <c r="R414" s="407">
        <v>4500</v>
      </c>
      <c r="S414" s="407">
        <v>80500</v>
      </c>
      <c r="T414" s="407"/>
      <c r="U414" s="407">
        <f>165000-200000</f>
        <v>-35000</v>
      </c>
      <c r="V414" s="407"/>
      <c r="W414" s="407"/>
      <c r="X414" s="407"/>
      <c r="Y414" s="407"/>
      <c r="Z414" s="407">
        <f>3360.6+6114</f>
        <v>9474.6</v>
      </c>
      <c r="AA414" s="407">
        <f t="shared" si="52"/>
        <v>40525.4</v>
      </c>
      <c r="AC414" s="501"/>
      <c r="AD414" s="512">
        <v>250000</v>
      </c>
      <c r="AE414" s="507"/>
      <c r="AF414" s="507" t="s">
        <v>1509</v>
      </c>
      <c r="AG414" s="507" t="s">
        <v>495</v>
      </c>
      <c r="AH414" s="507"/>
    </row>
    <row r="415" spans="1:34" s="362" customFormat="1" ht="30.75" customHeight="1">
      <c r="A415" s="357"/>
      <c r="B415" s="356"/>
      <c r="C415" s="167"/>
      <c r="D415" s="358" t="s">
        <v>615</v>
      </c>
      <c r="E415" s="142"/>
      <c r="F415" s="143"/>
      <c r="G415" s="142"/>
      <c r="H415" s="417">
        <v>3132</v>
      </c>
      <c r="I415" s="144">
        <v>120000</v>
      </c>
      <c r="J415" s="286"/>
      <c r="K415" s="144"/>
      <c r="L415" s="49"/>
      <c r="M415" s="49"/>
      <c r="N415" s="407"/>
      <c r="O415" s="407"/>
      <c r="P415" s="407"/>
      <c r="Q415" s="407"/>
      <c r="R415" s="407"/>
      <c r="S415" s="407"/>
      <c r="T415" s="407"/>
      <c r="U415" s="407"/>
      <c r="V415" s="407"/>
      <c r="W415" s="407">
        <v>120000</v>
      </c>
      <c r="X415" s="407"/>
      <c r="Y415" s="407"/>
      <c r="Z415" s="407"/>
      <c r="AA415" s="407">
        <f t="shared" si="52"/>
        <v>120000</v>
      </c>
      <c r="AC415" s="501"/>
      <c r="AD415" s="512"/>
      <c r="AE415" s="507"/>
      <c r="AF415" s="507"/>
      <c r="AG415" s="507"/>
      <c r="AH415" s="507"/>
    </row>
    <row r="416" spans="1:34" s="362" customFormat="1" ht="30.75" customHeight="1">
      <c r="A416" s="357"/>
      <c r="B416" s="356"/>
      <c r="C416" s="167"/>
      <c r="D416" s="358" t="s">
        <v>614</v>
      </c>
      <c r="E416" s="142"/>
      <c r="F416" s="143"/>
      <c r="G416" s="142"/>
      <c r="H416" s="417">
        <v>3132</v>
      </c>
      <c r="I416" s="144">
        <v>30000</v>
      </c>
      <c r="J416" s="286"/>
      <c r="K416" s="144"/>
      <c r="L416" s="49"/>
      <c r="M416" s="49"/>
      <c r="N416" s="407"/>
      <c r="O416" s="407"/>
      <c r="P416" s="407"/>
      <c r="Q416" s="407"/>
      <c r="R416" s="407"/>
      <c r="S416" s="407"/>
      <c r="T416" s="407"/>
      <c r="U416" s="407"/>
      <c r="V416" s="407"/>
      <c r="W416" s="407">
        <v>30000</v>
      </c>
      <c r="X416" s="407"/>
      <c r="Y416" s="407"/>
      <c r="Z416" s="407">
        <v>136.5</v>
      </c>
      <c r="AA416" s="407">
        <f t="shared" si="52"/>
        <v>29863.5</v>
      </c>
      <c r="AC416" s="501"/>
      <c r="AD416" s="512"/>
      <c r="AE416" s="507"/>
      <c r="AF416" s="507"/>
      <c r="AG416" s="507"/>
      <c r="AH416" s="507"/>
    </row>
    <row r="417" spans="1:34" s="362" customFormat="1" ht="31.5">
      <c r="A417" s="438"/>
      <c r="B417" s="438"/>
      <c r="C417" s="167"/>
      <c r="D417" s="359" t="s">
        <v>419</v>
      </c>
      <c r="E417" s="142"/>
      <c r="F417" s="143"/>
      <c r="G417" s="142"/>
      <c r="H417" s="417">
        <v>3132</v>
      </c>
      <c r="I417" s="144">
        <v>115688.2</v>
      </c>
      <c r="J417" s="286"/>
      <c r="K417" s="144"/>
      <c r="L417" s="49"/>
      <c r="M417" s="49">
        <v>115688.2</v>
      </c>
      <c r="N417" s="407"/>
      <c r="O417" s="407"/>
      <c r="P417" s="407"/>
      <c r="Q417" s="407"/>
      <c r="R417" s="407"/>
      <c r="S417" s="407"/>
      <c r="T417" s="407"/>
      <c r="U417" s="407">
        <v>34800</v>
      </c>
      <c r="V417" s="407"/>
      <c r="W417" s="407">
        <f>115688.2-34800</f>
        <v>80888.2</v>
      </c>
      <c r="X417" s="407"/>
      <c r="Y417" s="407"/>
      <c r="Z417" s="407">
        <f>23736+23552</f>
        <v>47288</v>
      </c>
      <c r="AA417" s="407">
        <f t="shared" si="52"/>
        <v>68400.2</v>
      </c>
      <c r="AC417" s="501"/>
      <c r="AD417" s="512">
        <v>115688.2</v>
      </c>
      <c r="AE417" s="507"/>
      <c r="AF417" s="507" t="s">
        <v>1510</v>
      </c>
      <c r="AG417" s="507" t="s">
        <v>504</v>
      </c>
      <c r="AH417" s="507"/>
    </row>
    <row r="418" spans="1:34" s="369" customFormat="1" ht="19.5" customHeight="1">
      <c r="A418" s="620">
        <v>110502</v>
      </c>
      <c r="B418" s="620" t="s">
        <v>2116</v>
      </c>
      <c r="C418" s="227"/>
      <c r="D418" s="545" t="s">
        <v>1456</v>
      </c>
      <c r="E418" s="137"/>
      <c r="F418" s="138"/>
      <c r="G418" s="137"/>
      <c r="H418" s="416"/>
      <c r="I418" s="139">
        <f>I419</f>
        <v>5000</v>
      </c>
      <c r="J418" s="139">
        <f aca="true" t="shared" si="53" ref="J418:Z418">J419</f>
        <v>0</v>
      </c>
      <c r="K418" s="139">
        <f t="shared" si="53"/>
        <v>0</v>
      </c>
      <c r="L418" s="139">
        <f t="shared" si="53"/>
        <v>0</v>
      </c>
      <c r="M418" s="139">
        <f t="shared" si="53"/>
        <v>0</v>
      </c>
      <c r="N418" s="139">
        <f t="shared" si="53"/>
        <v>0</v>
      </c>
      <c r="O418" s="139">
        <f t="shared" si="53"/>
        <v>0</v>
      </c>
      <c r="P418" s="139">
        <f t="shared" si="53"/>
        <v>0</v>
      </c>
      <c r="Q418" s="139">
        <f t="shared" si="53"/>
        <v>0</v>
      </c>
      <c r="R418" s="139">
        <f t="shared" si="53"/>
        <v>0</v>
      </c>
      <c r="S418" s="139">
        <f t="shared" si="53"/>
        <v>0</v>
      </c>
      <c r="T418" s="139">
        <f t="shared" si="53"/>
        <v>0</v>
      </c>
      <c r="U418" s="139">
        <f t="shared" si="53"/>
        <v>0</v>
      </c>
      <c r="V418" s="139">
        <f t="shared" si="53"/>
        <v>0</v>
      </c>
      <c r="W418" s="139">
        <f t="shared" si="53"/>
        <v>0</v>
      </c>
      <c r="X418" s="139">
        <f t="shared" si="53"/>
        <v>5000</v>
      </c>
      <c r="Y418" s="139">
        <f t="shared" si="53"/>
        <v>0</v>
      </c>
      <c r="Z418" s="139">
        <f t="shared" si="53"/>
        <v>0</v>
      </c>
      <c r="AA418" s="407">
        <f t="shared" si="52"/>
        <v>5000</v>
      </c>
      <c r="AC418" s="503"/>
      <c r="AD418" s="514"/>
      <c r="AE418" s="509"/>
      <c r="AF418" s="509"/>
      <c r="AG418" s="509"/>
      <c r="AH418" s="509"/>
    </row>
    <row r="419" spans="1:34" s="362" customFormat="1" ht="40.5" customHeight="1">
      <c r="A419" s="625"/>
      <c r="B419" s="625"/>
      <c r="C419" s="167"/>
      <c r="D419" s="359" t="s">
        <v>2115</v>
      </c>
      <c r="E419" s="142"/>
      <c r="F419" s="143"/>
      <c r="G419" s="142"/>
      <c r="H419" s="417">
        <v>3110</v>
      </c>
      <c r="I419" s="144">
        <v>5000</v>
      </c>
      <c r="J419" s="286"/>
      <c r="K419" s="144"/>
      <c r="L419" s="49"/>
      <c r="M419" s="49"/>
      <c r="N419" s="407"/>
      <c r="O419" s="407"/>
      <c r="P419" s="407"/>
      <c r="Q419" s="407"/>
      <c r="R419" s="407"/>
      <c r="S419" s="407"/>
      <c r="T419" s="407"/>
      <c r="U419" s="407"/>
      <c r="V419" s="407"/>
      <c r="W419" s="407"/>
      <c r="X419" s="407">
        <v>5000</v>
      </c>
      <c r="Y419" s="407"/>
      <c r="Z419" s="407"/>
      <c r="AA419" s="407">
        <f t="shared" si="52"/>
        <v>5000</v>
      </c>
      <c r="AC419" s="501"/>
      <c r="AD419" s="512"/>
      <c r="AE419" s="507"/>
      <c r="AF419" s="507"/>
      <c r="AG419" s="507"/>
      <c r="AH419" s="507"/>
    </row>
    <row r="420" spans="1:62" s="28" customFormat="1" ht="17.25" customHeight="1">
      <c r="A420" s="581" t="s">
        <v>420</v>
      </c>
      <c r="B420" s="605" t="s">
        <v>1445</v>
      </c>
      <c r="C420" s="195"/>
      <c r="D420" s="136" t="s">
        <v>1456</v>
      </c>
      <c r="E420" s="137"/>
      <c r="F420" s="159"/>
      <c r="G420" s="137"/>
      <c r="H420" s="416"/>
      <c r="I420" s="139">
        <f aca="true" t="shared" si="54" ref="I420:Z420">SUM(I421:I425)</f>
        <v>1011300</v>
      </c>
      <c r="J420" s="139">
        <f t="shared" si="54"/>
        <v>0</v>
      </c>
      <c r="K420" s="139">
        <f t="shared" si="54"/>
        <v>0</v>
      </c>
      <c r="L420" s="139">
        <f t="shared" si="54"/>
        <v>17623.1</v>
      </c>
      <c r="M420" s="139">
        <f t="shared" si="54"/>
        <v>863676.9</v>
      </c>
      <c r="N420" s="139">
        <f t="shared" si="54"/>
        <v>0</v>
      </c>
      <c r="O420" s="139">
        <f t="shared" si="54"/>
        <v>17623.1</v>
      </c>
      <c r="P420" s="139">
        <f t="shared" si="54"/>
        <v>0</v>
      </c>
      <c r="Q420" s="139">
        <f t="shared" si="54"/>
        <v>0</v>
      </c>
      <c r="R420" s="139">
        <f t="shared" si="54"/>
        <v>128000</v>
      </c>
      <c r="S420" s="139">
        <f t="shared" si="54"/>
        <v>277000</v>
      </c>
      <c r="T420" s="139">
        <f t="shared" si="54"/>
        <v>91000</v>
      </c>
      <c r="U420" s="139">
        <f t="shared" si="54"/>
        <v>202000</v>
      </c>
      <c r="V420" s="139">
        <f t="shared" si="54"/>
        <v>70676.9</v>
      </c>
      <c r="W420" s="139">
        <f t="shared" si="54"/>
        <v>130000</v>
      </c>
      <c r="X420" s="139">
        <f t="shared" si="54"/>
        <v>95000</v>
      </c>
      <c r="Y420" s="139">
        <f t="shared" si="54"/>
        <v>0</v>
      </c>
      <c r="Z420" s="139">
        <f t="shared" si="54"/>
        <v>525326.3</v>
      </c>
      <c r="AA420" s="407">
        <f t="shared" si="52"/>
        <v>485973.7</v>
      </c>
      <c r="AB420" s="30"/>
      <c r="AC420" s="59"/>
      <c r="AD420" s="512"/>
      <c r="AE420" s="507"/>
      <c r="AF420" s="507"/>
      <c r="AG420" s="507"/>
      <c r="AH420" s="507"/>
      <c r="AI420" s="30"/>
      <c r="AJ420" s="30"/>
      <c r="AK420" s="30"/>
      <c r="AL420" s="30"/>
      <c r="AM420" s="30"/>
      <c r="AN420" s="30"/>
      <c r="AO420" s="30"/>
      <c r="AP420" s="30"/>
      <c r="AQ420" s="30"/>
      <c r="AR420" s="30"/>
      <c r="AS420" s="30"/>
      <c r="AT420" s="30"/>
      <c r="AU420" s="30"/>
      <c r="AV420" s="30"/>
      <c r="AW420" s="30"/>
      <c r="AX420" s="30"/>
      <c r="AY420" s="30"/>
      <c r="AZ420" s="30"/>
      <c r="BA420" s="30"/>
      <c r="BB420" s="30"/>
      <c r="BC420" s="30"/>
      <c r="BD420" s="30"/>
      <c r="BE420" s="30"/>
      <c r="BF420" s="30"/>
      <c r="BG420" s="30"/>
      <c r="BH420" s="30"/>
      <c r="BI420" s="30"/>
      <c r="BJ420" s="30"/>
    </row>
    <row r="421" spans="1:34" s="40" customFormat="1" ht="31.5">
      <c r="A421" s="582"/>
      <c r="B421" s="607"/>
      <c r="C421" s="135" t="s">
        <v>282</v>
      </c>
      <c r="D421" s="141" t="s">
        <v>421</v>
      </c>
      <c r="E421" s="142">
        <v>100</v>
      </c>
      <c r="F421" s="143">
        <f>100%-((E421-G421)/E421)</f>
        <v>1</v>
      </c>
      <c r="G421" s="142">
        <v>100</v>
      </c>
      <c r="H421" s="417">
        <v>3132</v>
      </c>
      <c r="I421" s="144">
        <v>17623.1</v>
      </c>
      <c r="J421" s="144"/>
      <c r="K421" s="144"/>
      <c r="L421" s="144">
        <v>17623.1</v>
      </c>
      <c r="M421" s="144"/>
      <c r="N421" s="407"/>
      <c r="O421" s="144">
        <v>17623.1</v>
      </c>
      <c r="P421" s="407"/>
      <c r="Q421" s="407"/>
      <c r="R421" s="407"/>
      <c r="S421" s="407"/>
      <c r="T421" s="407"/>
      <c r="U421" s="407"/>
      <c r="V421" s="407"/>
      <c r="W421" s="407"/>
      <c r="X421" s="407"/>
      <c r="Y421" s="407"/>
      <c r="Z421" s="144">
        <f>17623.1-1266</f>
        <v>16357.1</v>
      </c>
      <c r="AA421" s="407">
        <f t="shared" si="52"/>
        <v>1266</v>
      </c>
      <c r="AC421" s="498"/>
      <c r="AD421" s="512">
        <v>17623.1</v>
      </c>
      <c r="AE421" s="507"/>
      <c r="AF421" s="507"/>
      <c r="AG421" s="507"/>
      <c r="AH421" s="507"/>
    </row>
    <row r="422" spans="1:34" s="362" customFormat="1" ht="31.5">
      <c r="A422" s="582"/>
      <c r="B422" s="607"/>
      <c r="C422" s="135"/>
      <c r="D422" s="359" t="s">
        <v>1274</v>
      </c>
      <c r="E422" s="142"/>
      <c r="F422" s="143"/>
      <c r="G422" s="142"/>
      <c r="H422" s="417">
        <v>3132</v>
      </c>
      <c r="I422" s="144">
        <f>300000+130000</f>
        <v>430000</v>
      </c>
      <c r="J422" s="144"/>
      <c r="K422" s="144"/>
      <c r="L422" s="49"/>
      <c r="M422" s="49">
        <v>300000</v>
      </c>
      <c r="N422" s="407"/>
      <c r="O422" s="407"/>
      <c r="P422" s="407"/>
      <c r="Q422" s="407"/>
      <c r="R422" s="407">
        <v>3000</v>
      </c>
      <c r="S422" s="407">
        <v>95000</v>
      </c>
      <c r="T422" s="407"/>
      <c r="U422" s="407">
        <v>202000</v>
      </c>
      <c r="V422" s="407"/>
      <c r="W422" s="407">
        <v>130000</v>
      </c>
      <c r="X422" s="407"/>
      <c r="Y422" s="407"/>
      <c r="Z422" s="407">
        <f>79875.6+196289.34</f>
        <v>276164.94</v>
      </c>
      <c r="AA422" s="407">
        <f t="shared" si="52"/>
        <v>153835.06</v>
      </c>
      <c r="AC422" s="501"/>
      <c r="AD422" s="512">
        <v>300000</v>
      </c>
      <c r="AE422" s="507"/>
      <c r="AF422" s="507" t="s">
        <v>1511</v>
      </c>
      <c r="AG422" s="507" t="s">
        <v>504</v>
      </c>
      <c r="AH422" s="507"/>
    </row>
    <row r="423" spans="1:34" s="362" customFormat="1" ht="31.5">
      <c r="A423" s="582"/>
      <c r="B423" s="607"/>
      <c r="C423" s="135"/>
      <c r="D423" s="358" t="s">
        <v>1713</v>
      </c>
      <c r="E423" s="142"/>
      <c r="F423" s="143"/>
      <c r="G423" s="142"/>
      <c r="H423" s="417">
        <v>3132</v>
      </c>
      <c r="I423" s="144">
        <v>73676.9</v>
      </c>
      <c r="J423" s="144"/>
      <c r="K423" s="144"/>
      <c r="L423" s="49"/>
      <c r="M423" s="49">
        <v>73676.9</v>
      </c>
      <c r="N423" s="407"/>
      <c r="O423" s="407"/>
      <c r="P423" s="407"/>
      <c r="Q423" s="407"/>
      <c r="R423" s="407"/>
      <c r="S423" s="407">
        <v>3000</v>
      </c>
      <c r="T423" s="407"/>
      <c r="U423" s="407"/>
      <c r="V423" s="407">
        <v>70676.9</v>
      </c>
      <c r="W423" s="407"/>
      <c r="X423" s="407"/>
      <c r="Y423" s="407"/>
      <c r="Z423" s="407">
        <f>2968.92</f>
        <v>2968.92</v>
      </c>
      <c r="AA423" s="407">
        <f t="shared" si="52"/>
        <v>70707.98</v>
      </c>
      <c r="AC423" s="501"/>
      <c r="AD423" s="512">
        <v>73676.9</v>
      </c>
      <c r="AE423" s="507"/>
      <c r="AF423" s="507" t="s">
        <v>1512</v>
      </c>
      <c r="AG423" s="507" t="s">
        <v>504</v>
      </c>
      <c r="AH423" s="507"/>
    </row>
    <row r="424" spans="1:34" s="362" customFormat="1" ht="31.5">
      <c r="A424" s="582"/>
      <c r="B424" s="607"/>
      <c r="C424" s="135"/>
      <c r="D424" s="359" t="s">
        <v>1372</v>
      </c>
      <c r="E424" s="142"/>
      <c r="F424" s="143"/>
      <c r="G424" s="142"/>
      <c r="H424" s="417">
        <v>3132</v>
      </c>
      <c r="I424" s="144">
        <v>290000</v>
      </c>
      <c r="J424" s="144"/>
      <c r="K424" s="144"/>
      <c r="L424" s="49"/>
      <c r="M424" s="49">
        <v>290000</v>
      </c>
      <c r="N424" s="407"/>
      <c r="O424" s="407"/>
      <c r="P424" s="407"/>
      <c r="Q424" s="407"/>
      <c r="R424" s="407">
        <v>65000</v>
      </c>
      <c r="S424" s="407">
        <v>39000</v>
      </c>
      <c r="T424" s="407">
        <v>91000</v>
      </c>
      <c r="U424" s="407"/>
      <c r="V424" s="407"/>
      <c r="W424" s="407"/>
      <c r="X424" s="407">
        <v>95000</v>
      </c>
      <c r="Y424" s="407"/>
      <c r="Z424" s="407">
        <f>52404.84</f>
        <v>52404.84</v>
      </c>
      <c r="AA424" s="407">
        <f t="shared" si="52"/>
        <v>237595.16</v>
      </c>
      <c r="AC424" s="501"/>
      <c r="AD424" s="512">
        <v>290000</v>
      </c>
      <c r="AE424" s="507"/>
      <c r="AF424" s="507" t="s">
        <v>1777</v>
      </c>
      <c r="AG424" s="507" t="s">
        <v>495</v>
      </c>
      <c r="AH424" s="507"/>
    </row>
    <row r="425" spans="1:34" s="369" customFormat="1" ht="15.75">
      <c r="A425" s="582"/>
      <c r="B425" s="607"/>
      <c r="C425" s="135" t="s">
        <v>1877</v>
      </c>
      <c r="D425" s="359" t="s">
        <v>1373</v>
      </c>
      <c r="E425" s="172"/>
      <c r="F425" s="143"/>
      <c r="G425" s="172"/>
      <c r="H425" s="417">
        <v>3110</v>
      </c>
      <c r="I425" s="144">
        <v>200000</v>
      </c>
      <c r="J425" s="144"/>
      <c r="K425" s="144"/>
      <c r="L425" s="49"/>
      <c r="M425" s="49">
        <v>200000</v>
      </c>
      <c r="N425" s="407"/>
      <c r="O425" s="439"/>
      <c r="P425" s="439"/>
      <c r="Q425" s="439"/>
      <c r="R425" s="439">
        <v>60000</v>
      </c>
      <c r="S425" s="439">
        <v>140000</v>
      </c>
      <c r="T425" s="439"/>
      <c r="U425" s="439"/>
      <c r="V425" s="439"/>
      <c r="W425" s="439"/>
      <c r="X425" s="439"/>
      <c r="Y425" s="439"/>
      <c r="Z425" s="407">
        <f>5000+45100+23000+65049.5+14881+7000+17400</f>
        <v>177430.5</v>
      </c>
      <c r="AA425" s="407">
        <f t="shared" si="52"/>
        <v>22569.5</v>
      </c>
      <c r="AC425" s="503"/>
      <c r="AD425" s="512">
        <v>200000</v>
      </c>
      <c r="AE425" s="507"/>
      <c r="AF425" s="507"/>
      <c r="AG425" s="507"/>
      <c r="AH425" s="507"/>
    </row>
    <row r="426" spans="1:34" s="369" customFormat="1" ht="19.5" customHeight="1">
      <c r="A426" s="581" t="s">
        <v>1696</v>
      </c>
      <c r="B426" s="605" t="s">
        <v>2114</v>
      </c>
      <c r="C426" s="166"/>
      <c r="D426" s="545" t="s">
        <v>1456</v>
      </c>
      <c r="E426" s="137"/>
      <c r="F426" s="138"/>
      <c r="G426" s="137"/>
      <c r="H426" s="416"/>
      <c r="I426" s="139">
        <f>I427</f>
        <v>25000</v>
      </c>
      <c r="J426" s="139">
        <f aca="true" t="shared" si="55" ref="J426:Z426">J427</f>
        <v>0</v>
      </c>
      <c r="K426" s="139">
        <f t="shared" si="55"/>
        <v>0</v>
      </c>
      <c r="L426" s="139">
        <f t="shared" si="55"/>
        <v>0</v>
      </c>
      <c r="M426" s="139">
        <f t="shared" si="55"/>
        <v>0</v>
      </c>
      <c r="N426" s="139">
        <f t="shared" si="55"/>
        <v>0</v>
      </c>
      <c r="O426" s="139">
        <f t="shared" si="55"/>
        <v>0</v>
      </c>
      <c r="P426" s="139">
        <f t="shared" si="55"/>
        <v>0</v>
      </c>
      <c r="Q426" s="139">
        <f t="shared" si="55"/>
        <v>0</v>
      </c>
      <c r="R426" s="139">
        <f t="shared" si="55"/>
        <v>0</v>
      </c>
      <c r="S426" s="139">
        <f t="shared" si="55"/>
        <v>0</v>
      </c>
      <c r="T426" s="139">
        <f t="shared" si="55"/>
        <v>0</v>
      </c>
      <c r="U426" s="139">
        <f t="shared" si="55"/>
        <v>0</v>
      </c>
      <c r="V426" s="139">
        <f t="shared" si="55"/>
        <v>0</v>
      </c>
      <c r="W426" s="139">
        <f t="shared" si="55"/>
        <v>0</v>
      </c>
      <c r="X426" s="139">
        <f t="shared" si="55"/>
        <v>25000</v>
      </c>
      <c r="Y426" s="139">
        <f t="shared" si="55"/>
        <v>0</v>
      </c>
      <c r="Z426" s="139">
        <f t="shared" si="55"/>
        <v>0</v>
      </c>
      <c r="AA426" s="407">
        <f t="shared" si="52"/>
        <v>25000</v>
      </c>
      <c r="AC426" s="503"/>
      <c r="AD426" s="514"/>
      <c r="AE426" s="509"/>
      <c r="AF426" s="509"/>
      <c r="AG426" s="509"/>
      <c r="AH426" s="509"/>
    </row>
    <row r="427" spans="1:34" s="369" customFormat="1" ht="31.5">
      <c r="A427" s="583"/>
      <c r="B427" s="606"/>
      <c r="C427" s="135"/>
      <c r="D427" s="359" t="s">
        <v>2115</v>
      </c>
      <c r="E427" s="172"/>
      <c r="F427" s="143"/>
      <c r="G427" s="172"/>
      <c r="H427" s="417">
        <v>3110</v>
      </c>
      <c r="I427" s="144">
        <v>25000</v>
      </c>
      <c r="J427" s="144"/>
      <c r="K427" s="144"/>
      <c r="L427" s="49"/>
      <c r="M427" s="49"/>
      <c r="N427" s="407"/>
      <c r="O427" s="439"/>
      <c r="P427" s="439"/>
      <c r="Q427" s="439"/>
      <c r="R427" s="439"/>
      <c r="S427" s="439"/>
      <c r="T427" s="439"/>
      <c r="U427" s="439"/>
      <c r="V427" s="439"/>
      <c r="W427" s="439"/>
      <c r="X427" s="407">
        <v>25000</v>
      </c>
      <c r="Y427" s="439"/>
      <c r="Z427" s="407"/>
      <c r="AA427" s="407">
        <f t="shared" si="52"/>
        <v>25000</v>
      </c>
      <c r="AC427" s="503"/>
      <c r="AD427" s="512"/>
      <c r="AE427" s="507"/>
      <c r="AF427" s="507"/>
      <c r="AG427" s="507"/>
      <c r="AH427" s="507"/>
    </row>
    <row r="428" spans="1:62" s="28" customFormat="1" ht="15.75" customHeight="1">
      <c r="A428" s="605">
        <v>150101</v>
      </c>
      <c r="B428" s="605" t="s">
        <v>1448</v>
      </c>
      <c r="C428" s="195"/>
      <c r="D428" s="136" t="s">
        <v>1456</v>
      </c>
      <c r="E428" s="137"/>
      <c r="F428" s="159"/>
      <c r="G428" s="137"/>
      <c r="H428" s="416"/>
      <c r="I428" s="139">
        <f aca="true" t="shared" si="56" ref="I428:Z428">SUM(I429:I435)</f>
        <v>931295.14</v>
      </c>
      <c r="J428" s="139">
        <f t="shared" si="56"/>
        <v>0</v>
      </c>
      <c r="K428" s="139">
        <f t="shared" si="56"/>
        <v>0</v>
      </c>
      <c r="L428" s="139">
        <f t="shared" si="56"/>
        <v>89127.54</v>
      </c>
      <c r="M428" s="139">
        <f t="shared" si="56"/>
        <v>574667.6</v>
      </c>
      <c r="N428" s="139">
        <f t="shared" si="56"/>
        <v>0</v>
      </c>
      <c r="O428" s="139">
        <f t="shared" si="56"/>
        <v>89127.54</v>
      </c>
      <c r="P428" s="139">
        <f t="shared" si="56"/>
        <v>0</v>
      </c>
      <c r="Q428" s="139">
        <f t="shared" si="56"/>
        <v>0</v>
      </c>
      <c r="R428" s="139">
        <f t="shared" si="56"/>
        <v>6000</v>
      </c>
      <c r="S428" s="139">
        <f t="shared" si="56"/>
        <v>104000</v>
      </c>
      <c r="T428" s="139">
        <f t="shared" si="56"/>
        <v>37366</v>
      </c>
      <c r="U428" s="139">
        <f t="shared" si="56"/>
        <v>227000</v>
      </c>
      <c r="V428" s="139">
        <f t="shared" si="56"/>
        <v>200000</v>
      </c>
      <c r="W428" s="139">
        <f t="shared" si="56"/>
        <v>167500</v>
      </c>
      <c r="X428" s="139">
        <f t="shared" si="56"/>
        <v>100301.6</v>
      </c>
      <c r="Y428" s="139">
        <f t="shared" si="56"/>
        <v>0</v>
      </c>
      <c r="Z428" s="139">
        <f t="shared" si="56"/>
        <v>69942.12</v>
      </c>
      <c r="AA428" s="407">
        <f t="shared" si="52"/>
        <v>861353.02</v>
      </c>
      <c r="AB428" s="30"/>
      <c r="AC428" s="59"/>
      <c r="AD428" s="512"/>
      <c r="AE428" s="507"/>
      <c r="AF428" s="507"/>
      <c r="AG428" s="507"/>
      <c r="AH428" s="507"/>
      <c r="AI428" s="30"/>
      <c r="AJ428" s="30"/>
      <c r="AK428" s="30"/>
      <c r="AL428" s="30"/>
      <c r="AM428" s="30"/>
      <c r="AN428" s="30"/>
      <c r="AO428" s="30"/>
      <c r="AP428" s="30"/>
      <c r="AQ428" s="30"/>
      <c r="AR428" s="30"/>
      <c r="AS428" s="30"/>
      <c r="AT428" s="30"/>
      <c r="AU428" s="30"/>
      <c r="AV428" s="30"/>
      <c r="AW428" s="30"/>
      <c r="AX428" s="30"/>
      <c r="AY428" s="30"/>
      <c r="AZ428" s="30"/>
      <c r="BA428" s="30"/>
      <c r="BB428" s="30"/>
      <c r="BC428" s="30"/>
      <c r="BD428" s="30"/>
      <c r="BE428" s="30"/>
      <c r="BF428" s="30"/>
      <c r="BG428" s="30"/>
      <c r="BH428" s="30"/>
      <c r="BI428" s="30"/>
      <c r="BJ428" s="30"/>
    </row>
    <row r="429" spans="1:34" s="45" customFormat="1" ht="47.25">
      <c r="A429" s="607"/>
      <c r="B429" s="607"/>
      <c r="C429" s="167" t="s">
        <v>1879</v>
      </c>
      <c r="D429" s="217" t="s">
        <v>1594</v>
      </c>
      <c r="E429" s="142">
        <v>151.12</v>
      </c>
      <c r="F429" s="143">
        <f>100%-((E429-G429)/E429)</f>
        <v>1</v>
      </c>
      <c r="G429" s="142">
        <v>151.12</v>
      </c>
      <c r="H429" s="417">
        <v>3122</v>
      </c>
      <c r="I429" s="144">
        <v>28598.4</v>
      </c>
      <c r="J429" s="144"/>
      <c r="K429" s="144"/>
      <c r="L429" s="144">
        <v>28598.4</v>
      </c>
      <c r="M429" s="144"/>
      <c r="N429" s="407"/>
      <c r="O429" s="144">
        <v>28598.4</v>
      </c>
      <c r="P429" s="407"/>
      <c r="Q429" s="407"/>
      <c r="R429" s="407"/>
      <c r="S429" s="407"/>
      <c r="T429" s="407"/>
      <c r="U429" s="407"/>
      <c r="V429" s="407"/>
      <c r="W429" s="407"/>
      <c r="X429" s="407"/>
      <c r="Y429" s="407"/>
      <c r="Z429" s="144">
        <f>28598.4-10612.42</f>
        <v>17985.98</v>
      </c>
      <c r="AA429" s="407">
        <f t="shared" si="52"/>
        <v>10612.42</v>
      </c>
      <c r="AC429" s="499"/>
      <c r="AD429" s="512">
        <v>28598.4</v>
      </c>
      <c r="AE429" s="507"/>
      <c r="AF429" s="507"/>
      <c r="AG429" s="507"/>
      <c r="AH429" s="507"/>
    </row>
    <row r="430" spans="1:34" s="45" customFormat="1" ht="15.75">
      <c r="A430" s="607"/>
      <c r="B430" s="607"/>
      <c r="C430" s="167" t="s">
        <v>1595</v>
      </c>
      <c r="D430" s="217" t="s">
        <v>1630</v>
      </c>
      <c r="E430" s="142">
        <v>336</v>
      </c>
      <c r="F430" s="143">
        <f>100%-((E430-G430)/E430)</f>
        <v>1</v>
      </c>
      <c r="G430" s="142">
        <v>336</v>
      </c>
      <c r="H430" s="417">
        <v>3142</v>
      </c>
      <c r="I430" s="144">
        <v>60529.14</v>
      </c>
      <c r="J430" s="144"/>
      <c r="K430" s="144"/>
      <c r="L430" s="144">
        <v>60529.14</v>
      </c>
      <c r="M430" s="144"/>
      <c r="N430" s="407"/>
      <c r="O430" s="144">
        <v>60529.14</v>
      </c>
      <c r="P430" s="407"/>
      <c r="Q430" s="407"/>
      <c r="R430" s="407"/>
      <c r="S430" s="407"/>
      <c r="T430" s="407"/>
      <c r="U430" s="407"/>
      <c r="V430" s="407"/>
      <c r="W430" s="407"/>
      <c r="X430" s="407"/>
      <c r="Y430" s="407"/>
      <c r="Z430" s="144">
        <f>60529.14-8573</f>
        <v>51956.14</v>
      </c>
      <c r="AA430" s="407">
        <f t="shared" si="52"/>
        <v>8573</v>
      </c>
      <c r="AC430" s="499"/>
      <c r="AD430" s="512">
        <v>60529.14</v>
      </c>
      <c r="AE430" s="507"/>
      <c r="AF430" s="507"/>
      <c r="AG430" s="507"/>
      <c r="AH430" s="507"/>
    </row>
    <row r="431" spans="1:34" s="45" customFormat="1" ht="25.5">
      <c r="A431" s="607"/>
      <c r="B431" s="607"/>
      <c r="C431" s="167"/>
      <c r="D431" s="217" t="s">
        <v>348</v>
      </c>
      <c r="E431" s="142"/>
      <c r="F431" s="143"/>
      <c r="G431" s="142"/>
      <c r="H431" s="417">
        <v>3142</v>
      </c>
      <c r="I431" s="144">
        <v>106000</v>
      </c>
      <c r="J431" s="144"/>
      <c r="K431" s="144"/>
      <c r="L431" s="144"/>
      <c r="M431" s="144"/>
      <c r="N431" s="407"/>
      <c r="O431" s="144"/>
      <c r="P431" s="407"/>
      <c r="Q431" s="407"/>
      <c r="R431" s="407"/>
      <c r="S431" s="407"/>
      <c r="T431" s="407"/>
      <c r="U431" s="407"/>
      <c r="V431" s="407"/>
      <c r="W431" s="407">
        <v>106000</v>
      </c>
      <c r="X431" s="407"/>
      <c r="Y431" s="407"/>
      <c r="Z431" s="144"/>
      <c r="AA431" s="407">
        <f t="shared" si="52"/>
        <v>106000</v>
      </c>
      <c r="AC431" s="499"/>
      <c r="AD431" s="512"/>
      <c r="AE431" s="507"/>
      <c r="AF431" s="507"/>
      <c r="AG431" s="507" t="s">
        <v>2098</v>
      </c>
      <c r="AH431" s="507"/>
    </row>
    <row r="432" spans="1:34" s="362" customFormat="1" ht="31.5">
      <c r="A432" s="607"/>
      <c r="B432" s="607"/>
      <c r="C432" s="167" t="s">
        <v>142</v>
      </c>
      <c r="D432" s="367" t="s">
        <v>1835</v>
      </c>
      <c r="E432" s="142"/>
      <c r="F432" s="143"/>
      <c r="G432" s="142"/>
      <c r="H432" s="417">
        <v>3142</v>
      </c>
      <c r="I432" s="144">
        <f>300000+207000</f>
        <v>507000</v>
      </c>
      <c r="J432" s="144"/>
      <c r="K432" s="144"/>
      <c r="L432" s="49"/>
      <c r="M432" s="49">
        <v>300000</v>
      </c>
      <c r="N432" s="407"/>
      <c r="O432" s="407"/>
      <c r="P432" s="407"/>
      <c r="Q432" s="407"/>
      <c r="R432" s="407"/>
      <c r="S432" s="407">
        <v>90000</v>
      </c>
      <c r="T432" s="407"/>
      <c r="U432" s="407">
        <f>210000+7000</f>
        <v>217000</v>
      </c>
      <c r="V432" s="407">
        <v>200000</v>
      </c>
      <c r="W432" s="407"/>
      <c r="X432" s="407"/>
      <c r="Y432" s="407"/>
      <c r="Z432" s="407"/>
      <c r="AA432" s="407">
        <f t="shared" si="52"/>
        <v>507000</v>
      </c>
      <c r="AC432" s="501"/>
      <c r="AD432" s="512">
        <v>300000</v>
      </c>
      <c r="AE432" s="507"/>
      <c r="AF432" s="507" t="s">
        <v>1778</v>
      </c>
      <c r="AG432" s="507" t="s">
        <v>504</v>
      </c>
      <c r="AH432" s="507"/>
    </row>
    <row r="433" spans="1:34" s="362" customFormat="1" ht="15.75" hidden="1">
      <c r="A433" s="607"/>
      <c r="B433" s="607"/>
      <c r="C433" s="167" t="s">
        <v>144</v>
      </c>
      <c r="D433" s="359" t="s">
        <v>558</v>
      </c>
      <c r="E433" s="142"/>
      <c r="F433" s="143"/>
      <c r="G433" s="172"/>
      <c r="H433" s="417">
        <v>3142</v>
      </c>
      <c r="I433" s="144">
        <f>120000-70000-50000</f>
        <v>0</v>
      </c>
      <c r="J433" s="144"/>
      <c r="K433" s="144"/>
      <c r="L433" s="49"/>
      <c r="M433" s="49">
        <v>120000</v>
      </c>
      <c r="N433" s="407"/>
      <c r="O433" s="407"/>
      <c r="P433" s="407"/>
      <c r="Q433" s="407"/>
      <c r="R433" s="407">
        <v>6000</v>
      </c>
      <c r="S433" s="407">
        <v>14000</v>
      </c>
      <c r="T433" s="407"/>
      <c r="U433" s="407">
        <f>30000-50000</f>
        <v>-20000</v>
      </c>
      <c r="V433" s="407"/>
      <c r="W433" s="407"/>
      <c r="X433" s="407">
        <f>70000-70000</f>
        <v>0</v>
      </c>
      <c r="Y433" s="407"/>
      <c r="Z433" s="407"/>
      <c r="AA433" s="407">
        <f t="shared" si="52"/>
        <v>0</v>
      </c>
      <c r="AC433" s="501"/>
      <c r="AD433" s="512"/>
      <c r="AE433" s="507"/>
      <c r="AF433" s="507"/>
      <c r="AG433" s="507"/>
      <c r="AH433" s="507"/>
    </row>
    <row r="434" spans="1:34" s="362" customFormat="1" ht="31.5">
      <c r="A434" s="607"/>
      <c r="B434" s="607"/>
      <c r="C434" s="167"/>
      <c r="D434" s="359" t="s">
        <v>559</v>
      </c>
      <c r="E434" s="142">
        <v>8.76</v>
      </c>
      <c r="F434" s="143">
        <f>100%-((E434-G434)/E434)</f>
        <v>1</v>
      </c>
      <c r="G434" s="142">
        <v>8.76</v>
      </c>
      <c r="H434" s="417">
        <v>3122</v>
      </c>
      <c r="I434" s="144">
        <v>57301.6</v>
      </c>
      <c r="J434" s="144"/>
      <c r="K434" s="144"/>
      <c r="L434" s="49"/>
      <c r="M434" s="49">
        <v>57301.6</v>
      </c>
      <c r="N434" s="407"/>
      <c r="O434" s="407"/>
      <c r="P434" s="407"/>
      <c r="Q434" s="407"/>
      <c r="R434" s="407"/>
      <c r="S434" s="407"/>
      <c r="T434" s="407"/>
      <c r="U434" s="407">
        <v>30000</v>
      </c>
      <c r="V434" s="407"/>
      <c r="W434" s="407"/>
      <c r="X434" s="407">
        <v>27301.6</v>
      </c>
      <c r="Y434" s="407"/>
      <c r="Z434" s="407"/>
      <c r="AA434" s="407">
        <f t="shared" si="52"/>
        <v>57301.6</v>
      </c>
      <c r="AC434" s="501"/>
      <c r="AD434" s="512">
        <v>57301.6</v>
      </c>
      <c r="AE434" s="507"/>
      <c r="AF434" s="507" t="s">
        <v>1779</v>
      </c>
      <c r="AG434" s="507" t="s">
        <v>504</v>
      </c>
      <c r="AH434" s="507"/>
    </row>
    <row r="435" spans="1:34" s="362" customFormat="1" ht="15.75">
      <c r="A435" s="607"/>
      <c r="B435" s="607"/>
      <c r="C435" s="167"/>
      <c r="D435" s="370" t="s">
        <v>560</v>
      </c>
      <c r="E435" s="142"/>
      <c r="F435" s="143"/>
      <c r="G435" s="142"/>
      <c r="H435" s="417">
        <v>3142</v>
      </c>
      <c r="I435" s="144">
        <f>97366+74500</f>
        <v>171866</v>
      </c>
      <c r="J435" s="144"/>
      <c r="K435" s="144"/>
      <c r="L435" s="49"/>
      <c r="M435" s="49">
        <v>97366</v>
      </c>
      <c r="N435" s="407"/>
      <c r="O435" s="407"/>
      <c r="P435" s="407"/>
      <c r="Q435" s="407"/>
      <c r="R435" s="407"/>
      <c r="S435" s="407"/>
      <c r="T435" s="407">
        <v>37366</v>
      </c>
      <c r="U435" s="407"/>
      <c r="V435" s="407"/>
      <c r="W435" s="407">
        <v>61500</v>
      </c>
      <c r="X435" s="407">
        <f>60000+13000</f>
        <v>73000</v>
      </c>
      <c r="Y435" s="407"/>
      <c r="Z435" s="407"/>
      <c r="AA435" s="407">
        <f t="shared" si="52"/>
        <v>171866</v>
      </c>
      <c r="AC435" s="501"/>
      <c r="AD435" s="512">
        <v>97366</v>
      </c>
      <c r="AE435" s="507"/>
      <c r="AF435" s="507" t="s">
        <v>1780</v>
      </c>
      <c r="AG435" s="507" t="s">
        <v>504</v>
      </c>
      <c r="AH435" s="507"/>
    </row>
    <row r="436" spans="1:62" s="28" customFormat="1" ht="15.75" customHeight="1">
      <c r="A436" s="605">
        <v>150110</v>
      </c>
      <c r="B436" s="581" t="s">
        <v>1741</v>
      </c>
      <c r="C436" s="195"/>
      <c r="D436" s="136" t="s">
        <v>1456</v>
      </c>
      <c r="E436" s="137"/>
      <c r="F436" s="159"/>
      <c r="G436" s="137"/>
      <c r="H436" s="416"/>
      <c r="I436" s="139">
        <f>I439+I442+I443+I462+I463+I464+I465+I466+I468+I467</f>
        <v>1299063.93</v>
      </c>
      <c r="J436" s="139">
        <f>SUM(J437:J443)+J466+J468+J465+J464+J463+J462</f>
        <v>0</v>
      </c>
      <c r="K436" s="139">
        <f>SUM(K437:K443)+K466+K468+K465+K464+K463+K462</f>
        <v>0</v>
      </c>
      <c r="L436" s="139">
        <f>SUM(L437:L443)+L466+L468+L465+L464+L463+L462</f>
        <v>233140.53</v>
      </c>
      <c r="M436" s="139">
        <f>SUM(M437:M443)+M466+M468+M465+M464+M463+M462</f>
        <v>1838500</v>
      </c>
      <c r="N436" s="139">
        <f>SUM(N437:N443)+N466+N468+N465+N464+N463+N462+N467</f>
        <v>0</v>
      </c>
      <c r="O436" s="139">
        <f aca="true" t="shared" si="57" ref="O436:Z436">SUM(O437:O443)+O466+O468+O465+O464+O463+O462+O467</f>
        <v>233140.53</v>
      </c>
      <c r="P436" s="139">
        <f t="shared" si="57"/>
        <v>0</v>
      </c>
      <c r="Q436" s="139">
        <f t="shared" si="57"/>
        <v>0</v>
      </c>
      <c r="R436" s="139">
        <f t="shared" si="57"/>
        <v>9000</v>
      </c>
      <c r="S436" s="139">
        <f t="shared" si="57"/>
        <v>254730</v>
      </c>
      <c r="T436" s="139">
        <f t="shared" si="57"/>
        <v>257370</v>
      </c>
      <c r="U436" s="139">
        <f t="shared" si="57"/>
        <v>-87126.6</v>
      </c>
      <c r="V436" s="139">
        <f t="shared" si="57"/>
        <v>350000</v>
      </c>
      <c r="W436" s="139">
        <f t="shared" si="57"/>
        <v>38000</v>
      </c>
      <c r="X436" s="139">
        <f t="shared" si="57"/>
        <v>91950</v>
      </c>
      <c r="Y436" s="139">
        <f t="shared" si="57"/>
        <v>152000</v>
      </c>
      <c r="Z436" s="139">
        <f t="shared" si="57"/>
        <v>661559.07</v>
      </c>
      <c r="AA436" s="407">
        <f t="shared" si="52"/>
        <v>485504.86</v>
      </c>
      <c r="AB436" s="30"/>
      <c r="AC436" s="59"/>
      <c r="AD436" s="512"/>
      <c r="AE436" s="507"/>
      <c r="AF436" s="507"/>
      <c r="AG436" s="507"/>
      <c r="AH436" s="507"/>
      <c r="AI436" s="30"/>
      <c r="AJ436" s="30"/>
      <c r="AK436" s="30"/>
      <c r="AL436" s="30"/>
      <c r="AM436" s="30"/>
      <c r="AN436" s="30"/>
      <c r="AO436" s="30"/>
      <c r="AP436" s="30"/>
      <c r="AQ436" s="30"/>
      <c r="AR436" s="30"/>
      <c r="AS436" s="30"/>
      <c r="AT436" s="30"/>
      <c r="AU436" s="30"/>
      <c r="AV436" s="30"/>
      <c r="AW436" s="30"/>
      <c r="AX436" s="30"/>
      <c r="AY436" s="30"/>
      <c r="AZ436" s="30"/>
      <c r="BA436" s="30"/>
      <c r="BB436" s="30"/>
      <c r="BC436" s="30"/>
      <c r="BD436" s="30"/>
      <c r="BE436" s="30"/>
      <c r="BF436" s="30"/>
      <c r="BG436" s="30"/>
      <c r="BH436" s="30"/>
      <c r="BI436" s="30"/>
      <c r="BJ436" s="30"/>
    </row>
    <row r="437" spans="1:34" ht="31.5" customHeight="1" hidden="1">
      <c r="A437" s="607"/>
      <c r="B437" s="582"/>
      <c r="C437" s="135" t="s">
        <v>562</v>
      </c>
      <c r="D437" s="141" t="s">
        <v>563</v>
      </c>
      <c r="E437" s="142">
        <v>5</v>
      </c>
      <c r="F437" s="143">
        <f>100%-((E437-G437)/E437)</f>
        <v>1</v>
      </c>
      <c r="G437" s="142">
        <v>5</v>
      </c>
      <c r="H437" s="417"/>
      <c r="I437" s="144" t="e">
        <f>J437+K437+L437+M437+#REF!+#REF!</f>
        <v>#REF!</v>
      </c>
      <c r="J437" s="144"/>
      <c r="K437" s="144"/>
      <c r="L437" s="144"/>
      <c r="M437" s="144"/>
      <c r="N437" s="407"/>
      <c r="O437" s="407"/>
      <c r="P437" s="407"/>
      <c r="Q437" s="407"/>
      <c r="R437" s="407"/>
      <c r="S437" s="407"/>
      <c r="T437" s="407"/>
      <c r="U437" s="407"/>
      <c r="V437" s="407"/>
      <c r="W437" s="407"/>
      <c r="X437" s="407"/>
      <c r="Y437" s="407"/>
      <c r="Z437" s="407"/>
      <c r="AA437" s="407">
        <f t="shared" si="52"/>
        <v>0</v>
      </c>
      <c r="AC437" s="499"/>
      <c r="AD437" s="512"/>
      <c r="AE437" s="507"/>
      <c r="AF437" s="507"/>
      <c r="AG437" s="507"/>
      <c r="AH437" s="507"/>
    </row>
    <row r="438" spans="1:34" ht="31.5" customHeight="1" hidden="1">
      <c r="A438" s="607"/>
      <c r="B438" s="582"/>
      <c r="C438" s="218" t="s">
        <v>142</v>
      </c>
      <c r="D438" s="141" t="s">
        <v>1417</v>
      </c>
      <c r="E438" s="142">
        <v>250</v>
      </c>
      <c r="F438" s="143">
        <f>100%-((E438-G438)/E438)</f>
        <v>1</v>
      </c>
      <c r="G438" s="142">
        <v>250</v>
      </c>
      <c r="H438" s="417"/>
      <c r="I438" s="144" t="e">
        <f>J438+K438+L438+M438+#REF!+#REF!</f>
        <v>#REF!</v>
      </c>
      <c r="J438" s="144"/>
      <c r="K438" s="144"/>
      <c r="L438" s="144"/>
      <c r="M438" s="144"/>
      <c r="N438" s="407"/>
      <c r="O438" s="407"/>
      <c r="P438" s="407"/>
      <c r="Q438" s="407"/>
      <c r="R438" s="407"/>
      <c r="S438" s="407"/>
      <c r="T438" s="407"/>
      <c r="U438" s="407"/>
      <c r="V438" s="407"/>
      <c r="W438" s="407"/>
      <c r="X438" s="407"/>
      <c r="Y438" s="407"/>
      <c r="Z438" s="407"/>
      <c r="AA438" s="407">
        <f t="shared" si="52"/>
        <v>0</v>
      </c>
      <c r="AC438" s="499"/>
      <c r="AD438" s="512"/>
      <c r="AE438" s="507"/>
      <c r="AF438" s="507"/>
      <c r="AG438" s="507"/>
      <c r="AH438" s="507"/>
    </row>
    <row r="439" spans="1:34" ht="63">
      <c r="A439" s="607"/>
      <c r="B439" s="582"/>
      <c r="C439" s="218" t="s">
        <v>1418</v>
      </c>
      <c r="D439" s="141" t="s">
        <v>1809</v>
      </c>
      <c r="E439" s="142">
        <v>151.5</v>
      </c>
      <c r="F439" s="143">
        <f>100%-((E439-G439)/E439)</f>
        <v>1</v>
      </c>
      <c r="G439" s="142">
        <v>151.5</v>
      </c>
      <c r="H439" s="417">
        <v>3122</v>
      </c>
      <c r="I439" s="144">
        <v>26863.76</v>
      </c>
      <c r="J439" s="144"/>
      <c r="K439" s="144"/>
      <c r="L439" s="144">
        <v>26863.76</v>
      </c>
      <c r="M439" s="144"/>
      <c r="N439" s="407"/>
      <c r="O439" s="144">
        <v>26863.76</v>
      </c>
      <c r="P439" s="407"/>
      <c r="Q439" s="407"/>
      <c r="R439" s="407"/>
      <c r="S439" s="407"/>
      <c r="T439" s="407"/>
      <c r="U439" s="407"/>
      <c r="V439" s="407"/>
      <c r="W439" s="407"/>
      <c r="X439" s="407"/>
      <c r="Y439" s="407"/>
      <c r="Z439" s="144">
        <v>26863.76</v>
      </c>
      <c r="AA439" s="407">
        <f t="shared" si="52"/>
        <v>0</v>
      </c>
      <c r="AC439" s="499"/>
      <c r="AD439" s="512">
        <v>26863.76</v>
      </c>
      <c r="AE439" s="507"/>
      <c r="AF439" s="507"/>
      <c r="AG439" s="507"/>
      <c r="AH439" s="507"/>
    </row>
    <row r="440" spans="1:34" ht="31.5" customHeight="1" hidden="1">
      <c r="A440" s="607"/>
      <c r="B440" s="582"/>
      <c r="C440" s="167" t="s">
        <v>1810</v>
      </c>
      <c r="D440" s="217" t="s">
        <v>1631</v>
      </c>
      <c r="E440" s="142">
        <v>362.049</v>
      </c>
      <c r="F440" s="143">
        <f>100%-((E440-G440)/E440)</f>
        <v>0.723</v>
      </c>
      <c r="G440" s="142">
        <v>261.853</v>
      </c>
      <c r="H440" s="417"/>
      <c r="I440" s="144">
        <v>0</v>
      </c>
      <c r="J440" s="144"/>
      <c r="K440" s="144"/>
      <c r="L440" s="144"/>
      <c r="M440" s="144">
        <f>SUM(M441:M441)</f>
        <v>0</v>
      </c>
      <c r="N440" s="407"/>
      <c r="O440" s="144">
        <v>0</v>
      </c>
      <c r="P440" s="407"/>
      <c r="Q440" s="407"/>
      <c r="R440" s="407"/>
      <c r="S440" s="407"/>
      <c r="T440" s="407"/>
      <c r="U440" s="407"/>
      <c r="V440" s="407"/>
      <c r="W440" s="407"/>
      <c r="X440" s="407"/>
      <c r="Y440" s="407"/>
      <c r="Z440" s="144">
        <v>0</v>
      </c>
      <c r="AA440" s="407">
        <f t="shared" si="52"/>
        <v>0</v>
      </c>
      <c r="AC440" s="499"/>
      <c r="AD440" s="512"/>
      <c r="AE440" s="507"/>
      <c r="AF440" s="507"/>
      <c r="AG440" s="507"/>
      <c r="AH440" s="507"/>
    </row>
    <row r="441" spans="1:34" ht="32.25" customHeight="1" hidden="1">
      <c r="A441" s="607"/>
      <c r="B441" s="582"/>
      <c r="C441" s="167" t="s">
        <v>1632</v>
      </c>
      <c r="D441" s="208" t="s">
        <v>1271</v>
      </c>
      <c r="E441" s="142"/>
      <c r="F441" s="143"/>
      <c r="G441" s="172"/>
      <c r="H441" s="420"/>
      <c r="I441" s="144">
        <v>0</v>
      </c>
      <c r="J441" s="144"/>
      <c r="K441" s="144"/>
      <c r="L441" s="144"/>
      <c r="M441" s="144"/>
      <c r="N441" s="407"/>
      <c r="O441" s="144">
        <v>0</v>
      </c>
      <c r="P441" s="407"/>
      <c r="Q441" s="407"/>
      <c r="R441" s="407"/>
      <c r="S441" s="407"/>
      <c r="T441" s="407"/>
      <c r="U441" s="407"/>
      <c r="V441" s="407"/>
      <c r="W441" s="407"/>
      <c r="X441" s="407"/>
      <c r="Y441" s="407"/>
      <c r="Z441" s="144">
        <v>0</v>
      </c>
      <c r="AA441" s="407">
        <f t="shared" si="52"/>
        <v>0</v>
      </c>
      <c r="AC441" s="499"/>
      <c r="AD441" s="512"/>
      <c r="AE441" s="507"/>
      <c r="AF441" s="507"/>
      <c r="AG441" s="507"/>
      <c r="AH441" s="507"/>
    </row>
    <row r="442" spans="1:34" ht="31.5">
      <c r="A442" s="607"/>
      <c r="B442" s="582"/>
      <c r="C442" s="167" t="s">
        <v>1632</v>
      </c>
      <c r="D442" s="208" t="s">
        <v>643</v>
      </c>
      <c r="E442" s="142">
        <v>200</v>
      </c>
      <c r="F442" s="143">
        <f>100%-((E442-G442)/E442)</f>
        <v>1</v>
      </c>
      <c r="G442" s="142">
        <v>200</v>
      </c>
      <c r="H442" s="417">
        <v>3142</v>
      </c>
      <c r="I442" s="144">
        <v>150703.45</v>
      </c>
      <c r="J442" s="144"/>
      <c r="K442" s="144"/>
      <c r="L442" s="144">
        <v>150703.45</v>
      </c>
      <c r="M442" s="144"/>
      <c r="N442" s="407"/>
      <c r="O442" s="144">
        <v>150703.45</v>
      </c>
      <c r="P442" s="407"/>
      <c r="Q442" s="407"/>
      <c r="R442" s="407"/>
      <c r="S442" s="407"/>
      <c r="T442" s="407"/>
      <c r="U442" s="407"/>
      <c r="V442" s="407"/>
      <c r="W442" s="407"/>
      <c r="X442" s="407"/>
      <c r="Y442" s="407"/>
      <c r="Z442" s="144">
        <v>150703.45</v>
      </c>
      <c r="AA442" s="407">
        <f t="shared" si="52"/>
        <v>0</v>
      </c>
      <c r="AC442" s="499"/>
      <c r="AD442" s="512">
        <v>150703.45</v>
      </c>
      <c r="AE442" s="507"/>
      <c r="AF442" s="507"/>
      <c r="AG442" s="507"/>
      <c r="AH442" s="507"/>
    </row>
    <row r="443" spans="1:34" ht="15.75">
      <c r="A443" s="607"/>
      <c r="B443" s="582"/>
      <c r="C443" s="167"/>
      <c r="D443" s="1" t="s">
        <v>1548</v>
      </c>
      <c r="E443" s="142"/>
      <c r="F443" s="143"/>
      <c r="G443" s="172"/>
      <c r="H443" s="420"/>
      <c r="I443" s="144">
        <f>I444+I445+I446+I447+I448+I449+I450+I451+I452+I453+I454+I455+I456+I457+I458+I459+I460+I461</f>
        <v>57996.72</v>
      </c>
      <c r="J443" s="144">
        <f>J444+J445+J446+J447+J448+J449+J450+J451+J452+J453+J454+J455+J456+J457+J458+J459+J460+J461</f>
        <v>0</v>
      </c>
      <c r="K443" s="144">
        <f>K444+K445+K446+K447+K448+K449+K450+K451+K452+K453+K454+K455+K456+K457+K458+K459+K460+K461</f>
        <v>0</v>
      </c>
      <c r="L443" s="144">
        <f>L444+L445+L446+L447+L448+L449+L450+L451+L452+L453+L454+L455+L456+L457+L458+L459+L460+L461</f>
        <v>55573.32</v>
      </c>
      <c r="M443" s="144"/>
      <c r="N443" s="407"/>
      <c r="O443" s="144">
        <f>O444+O445+O446+O447+O448+O449+O450+O451+O452+O453+O454+O455+O456+O457+O458+O459+O460+O461</f>
        <v>55573.32</v>
      </c>
      <c r="P443" s="144">
        <f aca="true" t="shared" si="58" ref="P443:Y443">P444+P445+P446+P447+P448+P449+P450+P451+P452+P453+P454+P455+P456+P457+P458+P459+P460+P461</f>
        <v>0</v>
      </c>
      <c r="Q443" s="144">
        <f t="shared" si="58"/>
        <v>0</v>
      </c>
      <c r="R443" s="144">
        <f t="shared" si="58"/>
        <v>0</v>
      </c>
      <c r="S443" s="144">
        <f t="shared" si="58"/>
        <v>0</v>
      </c>
      <c r="T443" s="144">
        <f t="shared" si="58"/>
        <v>0</v>
      </c>
      <c r="U443" s="144">
        <f t="shared" si="58"/>
        <v>2423.4</v>
      </c>
      <c r="V443" s="144">
        <f t="shared" si="58"/>
        <v>0</v>
      </c>
      <c r="W443" s="144">
        <f t="shared" si="58"/>
        <v>0</v>
      </c>
      <c r="X443" s="144">
        <f t="shared" si="58"/>
        <v>0</v>
      </c>
      <c r="Y443" s="144">
        <f t="shared" si="58"/>
        <v>0</v>
      </c>
      <c r="Z443" s="144">
        <f>Z444+Z445+Z446+Z447+Z448+Z449+Z450+Z451+Z452+Z453+Z454+Z455+Z456+Z457+Z458+Z459+Z460+Z461</f>
        <v>54534.72</v>
      </c>
      <c r="AA443" s="407">
        <f t="shared" si="52"/>
        <v>3462</v>
      </c>
      <c r="AC443" s="499"/>
      <c r="AD443" s="512"/>
      <c r="AE443" s="507"/>
      <c r="AF443" s="507"/>
      <c r="AG443" s="507"/>
      <c r="AH443" s="507"/>
    </row>
    <row r="444" spans="1:34" ht="15.75">
      <c r="A444" s="607"/>
      <c r="B444" s="582"/>
      <c r="C444" s="167"/>
      <c r="D444" s="57" t="s">
        <v>1549</v>
      </c>
      <c r="E444" s="142">
        <v>110</v>
      </c>
      <c r="F444" s="143">
        <f aca="true" t="shared" si="59" ref="F444:F461">100%-((E444-G444)/E444)</f>
        <v>1</v>
      </c>
      <c r="G444" s="142">
        <v>110</v>
      </c>
      <c r="H444" s="417">
        <v>3142</v>
      </c>
      <c r="I444" s="201">
        <v>3347.4</v>
      </c>
      <c r="J444" s="144"/>
      <c r="K444" s="144"/>
      <c r="L444" s="51">
        <v>3347.4</v>
      </c>
      <c r="M444" s="144"/>
      <c r="N444" s="407"/>
      <c r="O444" s="201">
        <v>3347.4</v>
      </c>
      <c r="P444" s="407"/>
      <c r="Q444" s="407"/>
      <c r="R444" s="407"/>
      <c r="S444" s="407"/>
      <c r="T444" s="407"/>
      <c r="U444" s="407"/>
      <c r="V444" s="407"/>
      <c r="W444" s="407"/>
      <c r="X444" s="407"/>
      <c r="Y444" s="407"/>
      <c r="Z444" s="201">
        <v>3347.4</v>
      </c>
      <c r="AA444" s="407">
        <f t="shared" si="52"/>
        <v>0</v>
      </c>
      <c r="AC444" s="499"/>
      <c r="AD444" s="512">
        <v>3347.4</v>
      </c>
      <c r="AE444" s="507"/>
      <c r="AF444" s="507"/>
      <c r="AG444" s="507"/>
      <c r="AH444" s="507"/>
    </row>
    <row r="445" spans="1:34" ht="31.5">
      <c r="A445" s="607"/>
      <c r="B445" s="582"/>
      <c r="C445" s="167"/>
      <c r="D445" s="221" t="s">
        <v>1550</v>
      </c>
      <c r="E445" s="142">
        <v>110</v>
      </c>
      <c r="F445" s="143">
        <f t="shared" si="59"/>
        <v>1</v>
      </c>
      <c r="G445" s="142">
        <v>110</v>
      </c>
      <c r="H445" s="417">
        <v>3142</v>
      </c>
      <c r="I445" s="201">
        <v>3743.4</v>
      </c>
      <c r="J445" s="144"/>
      <c r="K445" s="144"/>
      <c r="L445" s="51">
        <v>3743.4</v>
      </c>
      <c r="M445" s="144"/>
      <c r="N445" s="407"/>
      <c r="O445" s="201">
        <v>3743.4</v>
      </c>
      <c r="P445" s="407"/>
      <c r="Q445" s="407"/>
      <c r="R445" s="407"/>
      <c r="S445" s="407"/>
      <c r="T445" s="407"/>
      <c r="U445" s="407"/>
      <c r="V445" s="407"/>
      <c r="W445" s="407"/>
      <c r="X445" s="407"/>
      <c r="Y445" s="407"/>
      <c r="Z445" s="201">
        <v>3743.4</v>
      </c>
      <c r="AA445" s="407">
        <f t="shared" si="52"/>
        <v>0</v>
      </c>
      <c r="AC445" s="499"/>
      <c r="AD445" s="512">
        <v>3743.4</v>
      </c>
      <c r="AE445" s="507"/>
      <c r="AF445" s="507"/>
      <c r="AG445" s="507"/>
      <c r="AH445" s="507"/>
    </row>
    <row r="446" spans="1:34" ht="15.75" customHeight="1" hidden="1">
      <c r="A446" s="607"/>
      <c r="B446" s="582"/>
      <c r="C446" s="167"/>
      <c r="D446" s="221" t="s">
        <v>1551</v>
      </c>
      <c r="E446" s="142"/>
      <c r="F446" s="143" t="e">
        <f t="shared" si="59"/>
        <v>#DIV/0!</v>
      </c>
      <c r="G446" s="142"/>
      <c r="H446" s="417">
        <v>3142</v>
      </c>
      <c r="I446" s="201">
        <v>0</v>
      </c>
      <c r="J446" s="144"/>
      <c r="K446" s="144"/>
      <c r="L446" s="51"/>
      <c r="M446" s="144"/>
      <c r="N446" s="407"/>
      <c r="O446" s="201">
        <v>0</v>
      </c>
      <c r="P446" s="407"/>
      <c r="Q446" s="407"/>
      <c r="R446" s="407"/>
      <c r="S446" s="407"/>
      <c r="T446" s="407"/>
      <c r="U446" s="407"/>
      <c r="V446" s="407"/>
      <c r="W446" s="407"/>
      <c r="X446" s="407"/>
      <c r="Y446" s="407"/>
      <c r="Z446" s="201">
        <v>0</v>
      </c>
      <c r="AA446" s="407">
        <f t="shared" si="52"/>
        <v>0</v>
      </c>
      <c r="AC446" s="499"/>
      <c r="AD446" s="512"/>
      <c r="AE446" s="507"/>
      <c r="AF446" s="507"/>
      <c r="AG446" s="507"/>
      <c r="AH446" s="507"/>
    </row>
    <row r="447" spans="1:34" ht="31.5">
      <c r="A447" s="607"/>
      <c r="B447" s="582"/>
      <c r="C447" s="167"/>
      <c r="D447" s="221" t="s">
        <v>69</v>
      </c>
      <c r="E447" s="142">
        <v>110</v>
      </c>
      <c r="F447" s="143">
        <f t="shared" si="59"/>
        <v>1</v>
      </c>
      <c r="G447" s="142">
        <v>110</v>
      </c>
      <c r="H447" s="417">
        <v>3142</v>
      </c>
      <c r="I447" s="201">
        <v>4782</v>
      </c>
      <c r="J447" s="144"/>
      <c r="K447" s="144"/>
      <c r="L447" s="51">
        <v>4782</v>
      </c>
      <c r="M447" s="144"/>
      <c r="N447" s="407"/>
      <c r="O447" s="201">
        <v>4782</v>
      </c>
      <c r="P447" s="407"/>
      <c r="Q447" s="407"/>
      <c r="R447" s="407"/>
      <c r="S447" s="407"/>
      <c r="T447" s="407"/>
      <c r="U447" s="407"/>
      <c r="V447" s="407"/>
      <c r="W447" s="407"/>
      <c r="X447" s="407"/>
      <c r="Y447" s="407"/>
      <c r="Z447" s="201">
        <v>4782</v>
      </c>
      <c r="AA447" s="407">
        <f t="shared" si="52"/>
        <v>0</v>
      </c>
      <c r="AC447" s="499"/>
      <c r="AD447" s="512">
        <v>4782</v>
      </c>
      <c r="AE447" s="507"/>
      <c r="AF447" s="507"/>
      <c r="AG447" s="507"/>
      <c r="AH447" s="507"/>
    </row>
    <row r="448" spans="1:34" ht="31.5">
      <c r="A448" s="607"/>
      <c r="B448" s="582"/>
      <c r="C448" s="167"/>
      <c r="D448" s="221" t="s">
        <v>70</v>
      </c>
      <c r="E448" s="142">
        <v>110</v>
      </c>
      <c r="F448" s="143">
        <f t="shared" si="59"/>
        <v>1</v>
      </c>
      <c r="G448" s="142">
        <v>110</v>
      </c>
      <c r="H448" s="417">
        <v>3142</v>
      </c>
      <c r="I448" s="201">
        <v>2358.6</v>
      </c>
      <c r="J448" s="144"/>
      <c r="K448" s="144"/>
      <c r="L448" s="51">
        <v>2358.6</v>
      </c>
      <c r="M448" s="144"/>
      <c r="N448" s="407"/>
      <c r="O448" s="201">
        <v>2358.6</v>
      </c>
      <c r="P448" s="407"/>
      <c r="Q448" s="407"/>
      <c r="R448" s="407"/>
      <c r="S448" s="407"/>
      <c r="T448" s="407"/>
      <c r="U448" s="407"/>
      <c r="V448" s="407"/>
      <c r="W448" s="407"/>
      <c r="X448" s="407"/>
      <c r="Y448" s="407"/>
      <c r="Z448" s="201">
        <f>2358.6-1038.6</f>
        <v>1320</v>
      </c>
      <c r="AA448" s="407">
        <f t="shared" si="52"/>
        <v>1038.6</v>
      </c>
      <c r="AC448" s="499"/>
      <c r="AD448" s="512">
        <v>2358.6</v>
      </c>
      <c r="AE448" s="507"/>
      <c r="AF448" s="507"/>
      <c r="AG448" s="507"/>
      <c r="AH448" s="507"/>
    </row>
    <row r="449" spans="1:34" ht="31.5">
      <c r="A449" s="607"/>
      <c r="B449" s="582"/>
      <c r="C449" s="167"/>
      <c r="D449" s="221" t="s">
        <v>1342</v>
      </c>
      <c r="E449" s="142">
        <v>110</v>
      </c>
      <c r="F449" s="143">
        <f t="shared" si="59"/>
        <v>1</v>
      </c>
      <c r="G449" s="142">
        <v>110</v>
      </c>
      <c r="H449" s="417">
        <v>3142</v>
      </c>
      <c r="I449" s="201">
        <v>3347.4</v>
      </c>
      <c r="J449" s="144"/>
      <c r="K449" s="144"/>
      <c r="L449" s="51">
        <v>3347.4</v>
      </c>
      <c r="M449" s="144"/>
      <c r="N449" s="407"/>
      <c r="O449" s="201">
        <v>3347.4</v>
      </c>
      <c r="P449" s="407"/>
      <c r="Q449" s="407"/>
      <c r="R449" s="407"/>
      <c r="S449" s="407"/>
      <c r="T449" s="407"/>
      <c r="U449" s="407"/>
      <c r="V449" s="407"/>
      <c r="W449" s="407"/>
      <c r="X449" s="407"/>
      <c r="Y449" s="407"/>
      <c r="Z449" s="201">
        <v>3347.4</v>
      </c>
      <c r="AA449" s="407">
        <f t="shared" si="52"/>
        <v>0</v>
      </c>
      <c r="AC449" s="499"/>
      <c r="AD449" s="512">
        <v>3347.4</v>
      </c>
      <c r="AE449" s="507"/>
      <c r="AF449" s="507"/>
      <c r="AG449" s="507"/>
      <c r="AH449" s="507"/>
    </row>
    <row r="450" spans="1:34" ht="31.5">
      <c r="A450" s="607"/>
      <c r="B450" s="582"/>
      <c r="C450" s="167"/>
      <c r="D450" s="221" t="s">
        <v>1343</v>
      </c>
      <c r="E450" s="142">
        <v>110</v>
      </c>
      <c r="F450" s="143">
        <f t="shared" si="59"/>
        <v>1</v>
      </c>
      <c r="G450" s="142">
        <v>110</v>
      </c>
      <c r="H450" s="417">
        <v>3142</v>
      </c>
      <c r="I450" s="201">
        <v>3825.72</v>
      </c>
      <c r="J450" s="144"/>
      <c r="K450" s="144"/>
      <c r="L450" s="51">
        <v>3825.72</v>
      </c>
      <c r="M450" s="144"/>
      <c r="N450" s="407"/>
      <c r="O450" s="201">
        <v>3825.72</v>
      </c>
      <c r="P450" s="407"/>
      <c r="Q450" s="407"/>
      <c r="R450" s="407"/>
      <c r="S450" s="407"/>
      <c r="T450" s="407"/>
      <c r="U450" s="407"/>
      <c r="V450" s="407"/>
      <c r="W450" s="407"/>
      <c r="X450" s="407"/>
      <c r="Y450" s="407"/>
      <c r="Z450" s="201">
        <v>3825.72</v>
      </c>
      <c r="AA450" s="407">
        <f t="shared" si="52"/>
        <v>0</v>
      </c>
      <c r="AC450" s="499"/>
      <c r="AD450" s="512">
        <v>3825.72</v>
      </c>
      <c r="AE450" s="507"/>
      <c r="AF450" s="507"/>
      <c r="AG450" s="507"/>
      <c r="AH450" s="507"/>
    </row>
    <row r="451" spans="1:34" ht="31.5">
      <c r="A451" s="607"/>
      <c r="B451" s="582"/>
      <c r="C451" s="167"/>
      <c r="D451" s="221" t="s">
        <v>1344</v>
      </c>
      <c r="E451" s="142">
        <v>110</v>
      </c>
      <c r="F451" s="143">
        <f t="shared" si="59"/>
        <v>1</v>
      </c>
      <c r="G451" s="142">
        <v>110</v>
      </c>
      <c r="H451" s="417">
        <v>3142</v>
      </c>
      <c r="I451" s="201">
        <v>1320</v>
      </c>
      <c r="J451" s="144"/>
      <c r="K451" s="144"/>
      <c r="L451" s="51">
        <v>1320</v>
      </c>
      <c r="M451" s="144"/>
      <c r="N451" s="407"/>
      <c r="O451" s="201">
        <v>1320</v>
      </c>
      <c r="P451" s="407"/>
      <c r="Q451" s="407"/>
      <c r="R451" s="407"/>
      <c r="S451" s="407"/>
      <c r="T451" s="407"/>
      <c r="U451" s="407"/>
      <c r="V451" s="407"/>
      <c r="W451" s="407"/>
      <c r="X451" s="407"/>
      <c r="Y451" s="407"/>
      <c r="Z451" s="201">
        <v>1320</v>
      </c>
      <c r="AA451" s="407">
        <f t="shared" si="52"/>
        <v>0</v>
      </c>
      <c r="AC451" s="499"/>
      <c r="AD451" s="512">
        <v>1320</v>
      </c>
      <c r="AE451" s="507"/>
      <c r="AF451" s="507"/>
      <c r="AG451" s="507"/>
      <c r="AH451" s="507"/>
    </row>
    <row r="452" spans="1:34" ht="31.5">
      <c r="A452" s="607"/>
      <c r="B452" s="582"/>
      <c r="C452" s="167"/>
      <c r="D452" s="221" t="s">
        <v>208</v>
      </c>
      <c r="E452" s="142">
        <v>110</v>
      </c>
      <c r="F452" s="143">
        <f t="shared" si="59"/>
        <v>1</v>
      </c>
      <c r="G452" s="142">
        <v>110</v>
      </c>
      <c r="H452" s="417">
        <v>3142</v>
      </c>
      <c r="I452" s="201">
        <v>4782</v>
      </c>
      <c r="J452" s="144"/>
      <c r="K452" s="144"/>
      <c r="L452" s="51">
        <v>4782</v>
      </c>
      <c r="M452" s="144"/>
      <c r="N452" s="407"/>
      <c r="O452" s="201">
        <v>4782</v>
      </c>
      <c r="P452" s="407"/>
      <c r="Q452" s="407"/>
      <c r="R452" s="407"/>
      <c r="S452" s="407"/>
      <c r="T452" s="407"/>
      <c r="U452" s="407"/>
      <c r="V452" s="407"/>
      <c r="W452" s="407"/>
      <c r="X452" s="407"/>
      <c r="Y452" s="407"/>
      <c r="Z452" s="201">
        <v>4782</v>
      </c>
      <c r="AA452" s="407">
        <f t="shared" si="52"/>
        <v>0</v>
      </c>
      <c r="AC452" s="499"/>
      <c r="AD452" s="512">
        <v>4782</v>
      </c>
      <c r="AE452" s="507"/>
      <c r="AF452" s="507"/>
      <c r="AG452" s="507"/>
      <c r="AH452" s="507"/>
    </row>
    <row r="453" spans="1:34" ht="15.75" customHeight="1" hidden="1">
      <c r="A453" s="607"/>
      <c r="B453" s="582"/>
      <c r="C453" s="167"/>
      <c r="D453" s="221" t="s">
        <v>209</v>
      </c>
      <c r="E453" s="142">
        <v>110</v>
      </c>
      <c r="F453" s="143">
        <f t="shared" si="59"/>
        <v>1</v>
      </c>
      <c r="G453" s="142">
        <v>110</v>
      </c>
      <c r="H453" s="417">
        <v>3142</v>
      </c>
      <c r="I453" s="201">
        <v>0</v>
      </c>
      <c r="J453" s="144"/>
      <c r="K453" s="144"/>
      <c r="L453" s="51"/>
      <c r="M453" s="144"/>
      <c r="N453" s="407"/>
      <c r="O453" s="201">
        <v>0</v>
      </c>
      <c r="P453" s="407"/>
      <c r="Q453" s="407"/>
      <c r="R453" s="407"/>
      <c r="S453" s="407"/>
      <c r="T453" s="407"/>
      <c r="U453" s="407"/>
      <c r="V453" s="407"/>
      <c r="W453" s="407"/>
      <c r="X453" s="407"/>
      <c r="Y453" s="407"/>
      <c r="Z453" s="201">
        <v>0</v>
      </c>
      <c r="AA453" s="407">
        <f t="shared" si="52"/>
        <v>0</v>
      </c>
      <c r="AC453" s="499"/>
      <c r="AD453" s="512"/>
      <c r="AE453" s="507"/>
      <c r="AF453" s="507"/>
      <c r="AG453" s="507"/>
      <c r="AH453" s="507"/>
    </row>
    <row r="454" spans="1:34" ht="18.75" customHeight="1">
      <c r="A454" s="607"/>
      <c r="B454" s="582"/>
      <c r="C454" s="167"/>
      <c r="D454" s="221" t="s">
        <v>1171</v>
      </c>
      <c r="E454" s="142">
        <v>110</v>
      </c>
      <c r="F454" s="143">
        <f t="shared" si="59"/>
        <v>1</v>
      </c>
      <c r="G454" s="142">
        <v>110</v>
      </c>
      <c r="H454" s="417">
        <v>3142</v>
      </c>
      <c r="I454" s="201">
        <v>3347.4</v>
      </c>
      <c r="J454" s="144"/>
      <c r="K454" s="144"/>
      <c r="L454" s="51">
        <v>3347.4</v>
      </c>
      <c r="M454" s="144"/>
      <c r="N454" s="407"/>
      <c r="O454" s="201">
        <v>3347.4</v>
      </c>
      <c r="P454" s="407"/>
      <c r="Q454" s="407"/>
      <c r="R454" s="407"/>
      <c r="S454" s="407"/>
      <c r="T454" s="407"/>
      <c r="U454" s="407"/>
      <c r="V454" s="407"/>
      <c r="W454" s="407"/>
      <c r="X454" s="407"/>
      <c r="Y454" s="407"/>
      <c r="Z454" s="201">
        <v>3347.4</v>
      </c>
      <c r="AA454" s="407">
        <f t="shared" si="52"/>
        <v>0</v>
      </c>
      <c r="AC454" s="499"/>
      <c r="AD454" s="512">
        <v>3347.4</v>
      </c>
      <c r="AE454" s="507"/>
      <c r="AF454" s="507"/>
      <c r="AG454" s="507"/>
      <c r="AH454" s="507"/>
    </row>
    <row r="455" spans="1:34" ht="31.5">
      <c r="A455" s="607"/>
      <c r="B455" s="582"/>
      <c r="C455" s="167"/>
      <c r="D455" s="221" t="s">
        <v>1172</v>
      </c>
      <c r="E455" s="142">
        <v>110</v>
      </c>
      <c r="F455" s="143">
        <f t="shared" si="59"/>
        <v>1</v>
      </c>
      <c r="G455" s="142">
        <v>110</v>
      </c>
      <c r="H455" s="417">
        <v>3142</v>
      </c>
      <c r="I455" s="201">
        <v>3347.4</v>
      </c>
      <c r="J455" s="144"/>
      <c r="K455" s="144"/>
      <c r="L455" s="51">
        <v>3347.4</v>
      </c>
      <c r="M455" s="144"/>
      <c r="N455" s="407"/>
      <c r="O455" s="201">
        <v>3347.4</v>
      </c>
      <c r="P455" s="407"/>
      <c r="Q455" s="407"/>
      <c r="R455" s="407"/>
      <c r="S455" s="407"/>
      <c r="T455" s="407"/>
      <c r="U455" s="407"/>
      <c r="V455" s="407"/>
      <c r="W455" s="407"/>
      <c r="X455" s="407"/>
      <c r="Y455" s="407"/>
      <c r="Z455" s="201">
        <v>3347.4</v>
      </c>
      <c r="AA455" s="407">
        <f t="shared" si="52"/>
        <v>0</v>
      </c>
      <c r="AC455" s="499"/>
      <c r="AD455" s="512">
        <v>3347.4</v>
      </c>
      <c r="AE455" s="507"/>
      <c r="AF455" s="507"/>
      <c r="AG455" s="507"/>
      <c r="AH455" s="507"/>
    </row>
    <row r="456" spans="1:34" ht="31.5">
      <c r="A456" s="607"/>
      <c r="B456" s="582"/>
      <c r="C456" s="167"/>
      <c r="D456" s="221" t="s">
        <v>2068</v>
      </c>
      <c r="E456" s="142">
        <v>110</v>
      </c>
      <c r="F456" s="143">
        <f t="shared" si="59"/>
        <v>1</v>
      </c>
      <c r="G456" s="142">
        <v>110</v>
      </c>
      <c r="H456" s="417">
        <v>3142</v>
      </c>
      <c r="I456" s="201">
        <v>4782</v>
      </c>
      <c r="J456" s="144"/>
      <c r="K456" s="144"/>
      <c r="L456" s="51">
        <v>4782</v>
      </c>
      <c r="M456" s="144"/>
      <c r="N456" s="407"/>
      <c r="O456" s="201">
        <v>4782</v>
      </c>
      <c r="P456" s="407"/>
      <c r="Q456" s="407"/>
      <c r="R456" s="407"/>
      <c r="S456" s="407"/>
      <c r="T456" s="407"/>
      <c r="U456" s="407"/>
      <c r="V456" s="407"/>
      <c r="W456" s="407"/>
      <c r="X456" s="407"/>
      <c r="Y456" s="407"/>
      <c r="Z456" s="201">
        <v>4782</v>
      </c>
      <c r="AA456" s="407">
        <f t="shared" si="52"/>
        <v>0</v>
      </c>
      <c r="AC456" s="499"/>
      <c r="AD456" s="512">
        <v>4782</v>
      </c>
      <c r="AE456" s="507"/>
      <c r="AF456" s="507"/>
      <c r="AG456" s="507"/>
      <c r="AH456" s="507"/>
    </row>
    <row r="457" spans="1:34" ht="31.5">
      <c r="A457" s="607"/>
      <c r="B457" s="582"/>
      <c r="C457" s="167"/>
      <c r="D457" s="221" t="s">
        <v>1249</v>
      </c>
      <c r="E457" s="142">
        <v>110</v>
      </c>
      <c r="F457" s="143">
        <f t="shared" si="59"/>
        <v>1</v>
      </c>
      <c r="G457" s="142">
        <v>110</v>
      </c>
      <c r="H457" s="417">
        <v>3142</v>
      </c>
      <c r="I457" s="201">
        <v>1320</v>
      </c>
      <c r="J457" s="144"/>
      <c r="K457" s="144"/>
      <c r="L457" s="51">
        <v>1320</v>
      </c>
      <c r="M457" s="144"/>
      <c r="N457" s="407"/>
      <c r="O457" s="201">
        <v>1320</v>
      </c>
      <c r="P457" s="407"/>
      <c r="Q457" s="407"/>
      <c r="R457" s="407"/>
      <c r="S457" s="407"/>
      <c r="T457" s="407"/>
      <c r="U457" s="407"/>
      <c r="V457" s="407"/>
      <c r="W457" s="407"/>
      <c r="X457" s="407"/>
      <c r="Y457" s="407"/>
      <c r="Z457" s="201">
        <v>1320</v>
      </c>
      <c r="AA457" s="407">
        <f t="shared" si="52"/>
        <v>0</v>
      </c>
      <c r="AC457" s="499"/>
      <c r="AD457" s="512">
        <v>1320</v>
      </c>
      <c r="AE457" s="507"/>
      <c r="AF457" s="507"/>
      <c r="AG457" s="507"/>
      <c r="AH457" s="507"/>
    </row>
    <row r="458" spans="1:34" ht="15.75">
      <c r="A458" s="607"/>
      <c r="B458" s="582"/>
      <c r="C458" s="167"/>
      <c r="D458" s="221" t="s">
        <v>203</v>
      </c>
      <c r="E458" s="142">
        <v>110</v>
      </c>
      <c r="F458" s="143">
        <f t="shared" si="59"/>
        <v>1</v>
      </c>
      <c r="G458" s="142">
        <v>110</v>
      </c>
      <c r="H458" s="417">
        <v>3142</v>
      </c>
      <c r="I458" s="201">
        <v>4782</v>
      </c>
      <c r="J458" s="144"/>
      <c r="K458" s="144"/>
      <c r="L458" s="51">
        <v>4782</v>
      </c>
      <c r="M458" s="144"/>
      <c r="N458" s="407"/>
      <c r="O458" s="201">
        <v>4782</v>
      </c>
      <c r="P458" s="407"/>
      <c r="Q458" s="407"/>
      <c r="R458" s="407"/>
      <c r="S458" s="407"/>
      <c r="T458" s="407"/>
      <c r="U458" s="407"/>
      <c r="V458" s="407"/>
      <c r="W458" s="407"/>
      <c r="X458" s="407"/>
      <c r="Y458" s="407"/>
      <c r="Z458" s="201">
        <v>4782</v>
      </c>
      <c r="AA458" s="407">
        <f t="shared" si="52"/>
        <v>0</v>
      </c>
      <c r="AC458" s="499"/>
      <c r="AD458" s="512">
        <v>4782</v>
      </c>
      <c r="AE458" s="507"/>
      <c r="AF458" s="507"/>
      <c r="AG458" s="507"/>
      <c r="AH458" s="507"/>
    </row>
    <row r="459" spans="1:34" ht="31.5">
      <c r="A459" s="607"/>
      <c r="B459" s="582"/>
      <c r="C459" s="167"/>
      <c r="D459" s="221" t="s">
        <v>204</v>
      </c>
      <c r="E459" s="142">
        <v>110</v>
      </c>
      <c r="F459" s="143">
        <f t="shared" si="59"/>
        <v>1</v>
      </c>
      <c r="G459" s="142">
        <v>110</v>
      </c>
      <c r="H459" s="417">
        <v>3142</v>
      </c>
      <c r="I459" s="201">
        <v>3347.4</v>
      </c>
      <c r="J459" s="144"/>
      <c r="K459" s="144"/>
      <c r="L459" s="51">
        <v>3347.4</v>
      </c>
      <c r="M459" s="144"/>
      <c r="N459" s="407"/>
      <c r="O459" s="201">
        <v>3347.4</v>
      </c>
      <c r="P459" s="407"/>
      <c r="Q459" s="407"/>
      <c r="R459" s="407"/>
      <c r="S459" s="407"/>
      <c r="T459" s="407"/>
      <c r="U459" s="407"/>
      <c r="V459" s="407"/>
      <c r="W459" s="407"/>
      <c r="X459" s="407"/>
      <c r="Y459" s="407"/>
      <c r="Z459" s="201">
        <v>3347.4</v>
      </c>
      <c r="AA459" s="407">
        <f t="shared" si="52"/>
        <v>0</v>
      </c>
      <c r="AC459" s="499"/>
      <c r="AD459" s="512">
        <v>3347.4</v>
      </c>
      <c r="AE459" s="507"/>
      <c r="AF459" s="507"/>
      <c r="AG459" s="507"/>
      <c r="AH459" s="507"/>
    </row>
    <row r="460" spans="1:34" ht="31.5">
      <c r="A460" s="607"/>
      <c r="B460" s="582"/>
      <c r="C460" s="167"/>
      <c r="D460" s="221" t="s">
        <v>205</v>
      </c>
      <c r="E460" s="142">
        <v>110</v>
      </c>
      <c r="F460" s="143">
        <f t="shared" si="59"/>
        <v>1</v>
      </c>
      <c r="G460" s="142">
        <v>110</v>
      </c>
      <c r="H460" s="417">
        <v>3142</v>
      </c>
      <c r="I460" s="201">
        <f>2358.6+2423.4</f>
        <v>4782</v>
      </c>
      <c r="J460" s="144"/>
      <c r="K460" s="144"/>
      <c r="L460" s="51">
        <v>2358.6</v>
      </c>
      <c r="M460" s="144"/>
      <c r="N460" s="407"/>
      <c r="O460" s="201">
        <v>2358.6</v>
      </c>
      <c r="P460" s="407"/>
      <c r="Q460" s="407"/>
      <c r="R460" s="407"/>
      <c r="S460" s="407"/>
      <c r="T460" s="407"/>
      <c r="U460" s="407">
        <v>2423.4</v>
      </c>
      <c r="V460" s="407"/>
      <c r="W460" s="407"/>
      <c r="X460" s="407"/>
      <c r="Y460" s="407"/>
      <c r="Z460" s="201">
        <v>2358.6</v>
      </c>
      <c r="AA460" s="407">
        <f t="shared" si="52"/>
        <v>2423.4</v>
      </c>
      <c r="AC460" s="499"/>
      <c r="AD460" s="512">
        <v>2358.6</v>
      </c>
      <c r="AE460" s="507"/>
      <c r="AF460" s="507"/>
      <c r="AG460" s="507"/>
      <c r="AH460" s="507"/>
    </row>
    <row r="461" spans="1:34" ht="31.5">
      <c r="A461" s="607"/>
      <c r="B461" s="582"/>
      <c r="C461" s="167"/>
      <c r="D461" s="221" t="s">
        <v>1633</v>
      </c>
      <c r="E461" s="142">
        <v>130</v>
      </c>
      <c r="F461" s="143">
        <f t="shared" si="59"/>
        <v>1</v>
      </c>
      <c r="G461" s="142">
        <v>130</v>
      </c>
      <c r="H461" s="417">
        <v>3142</v>
      </c>
      <c r="I461" s="201">
        <v>4782</v>
      </c>
      <c r="J461" s="144"/>
      <c r="K461" s="144"/>
      <c r="L461" s="51">
        <v>4782</v>
      </c>
      <c r="M461" s="144"/>
      <c r="N461" s="407"/>
      <c r="O461" s="201">
        <v>4782</v>
      </c>
      <c r="P461" s="407"/>
      <c r="Q461" s="407"/>
      <c r="R461" s="407"/>
      <c r="S461" s="407"/>
      <c r="T461" s="407"/>
      <c r="U461" s="407"/>
      <c r="V461" s="407"/>
      <c r="W461" s="407"/>
      <c r="X461" s="407"/>
      <c r="Y461" s="407"/>
      <c r="Z461" s="201">
        <v>4782</v>
      </c>
      <c r="AA461" s="407">
        <f t="shared" si="52"/>
        <v>0</v>
      </c>
      <c r="AC461" s="499"/>
      <c r="AD461" s="512">
        <v>4782</v>
      </c>
      <c r="AE461" s="507"/>
      <c r="AF461" s="507"/>
      <c r="AG461" s="507"/>
      <c r="AH461" s="507"/>
    </row>
    <row r="462" spans="1:34" s="362" customFormat="1" ht="31.5">
      <c r="A462" s="607"/>
      <c r="B462" s="582"/>
      <c r="C462" s="167"/>
      <c r="D462" s="367" t="s">
        <v>259</v>
      </c>
      <c r="E462" s="142"/>
      <c r="F462" s="143"/>
      <c r="G462" s="142"/>
      <c r="H462" s="417">
        <v>3142</v>
      </c>
      <c r="I462" s="144">
        <f>250000+25000</f>
        <v>275000</v>
      </c>
      <c r="J462" s="144"/>
      <c r="K462" s="144"/>
      <c r="L462" s="49"/>
      <c r="M462" s="49">
        <v>250000</v>
      </c>
      <c r="N462" s="407"/>
      <c r="O462" s="407"/>
      <c r="P462" s="407"/>
      <c r="Q462" s="407"/>
      <c r="R462" s="407"/>
      <c r="S462" s="407">
        <v>75000</v>
      </c>
      <c r="T462" s="407"/>
      <c r="U462" s="407"/>
      <c r="V462" s="407">
        <v>175000</v>
      </c>
      <c r="W462" s="407">
        <v>25000</v>
      </c>
      <c r="X462" s="407"/>
      <c r="Y462" s="407"/>
      <c r="Z462" s="407">
        <v>129090.5</v>
      </c>
      <c r="AA462" s="407">
        <f t="shared" si="52"/>
        <v>145909.5</v>
      </c>
      <c r="AC462" s="501"/>
      <c r="AD462" s="512">
        <v>250000</v>
      </c>
      <c r="AE462" s="507"/>
      <c r="AF462" s="507" t="s">
        <v>1781</v>
      </c>
      <c r="AG462" s="507" t="s">
        <v>504</v>
      </c>
      <c r="AH462" s="507"/>
    </row>
    <row r="463" spans="1:34" s="362" customFormat="1" ht="31.5" hidden="1">
      <c r="A463" s="607"/>
      <c r="B463" s="582"/>
      <c r="C463" s="167"/>
      <c r="D463" s="360" t="s">
        <v>102</v>
      </c>
      <c r="E463" s="142"/>
      <c r="F463" s="143"/>
      <c r="G463" s="142"/>
      <c r="H463" s="417">
        <v>3142</v>
      </c>
      <c r="I463" s="144">
        <f>800000-800000</f>
        <v>0</v>
      </c>
      <c r="J463" s="144"/>
      <c r="K463" s="144"/>
      <c r="L463" s="49"/>
      <c r="M463" s="49">
        <v>800000</v>
      </c>
      <c r="N463" s="407"/>
      <c r="O463" s="407"/>
      <c r="P463" s="407"/>
      <c r="Q463" s="407"/>
      <c r="R463" s="407">
        <v>9000</v>
      </c>
      <c r="S463" s="407">
        <f>252000-62270-92300</f>
        <v>97430</v>
      </c>
      <c r="T463" s="407">
        <v>62270</v>
      </c>
      <c r="U463" s="407">
        <f>339000-322000-185700</f>
        <v>-168700</v>
      </c>
      <c r="V463" s="407">
        <f>92300-92300</f>
        <v>0</v>
      </c>
      <c r="W463" s="407">
        <f>200000-200000</f>
        <v>0</v>
      </c>
      <c r="X463" s="407">
        <f>322000-322000</f>
        <v>0</v>
      </c>
      <c r="Y463" s="407"/>
      <c r="Z463" s="407"/>
      <c r="AA463" s="407">
        <f t="shared" si="52"/>
        <v>0</v>
      </c>
      <c r="AC463" s="501"/>
      <c r="AD463" s="512"/>
      <c r="AE463" s="507"/>
      <c r="AF463" s="507"/>
      <c r="AG463" s="507"/>
      <c r="AH463" s="507"/>
    </row>
    <row r="464" spans="1:34" s="362" customFormat="1" ht="63">
      <c r="A464" s="607"/>
      <c r="B464" s="582"/>
      <c r="C464" s="167"/>
      <c r="D464" s="358" t="s">
        <v>1543</v>
      </c>
      <c r="E464" s="142"/>
      <c r="F464" s="143"/>
      <c r="G464" s="142"/>
      <c r="H464" s="417">
        <v>3122</v>
      </c>
      <c r="I464" s="144">
        <v>90200</v>
      </c>
      <c r="J464" s="144"/>
      <c r="K464" s="144"/>
      <c r="L464" s="49"/>
      <c r="M464" s="49">
        <v>90200</v>
      </c>
      <c r="N464" s="407"/>
      <c r="O464" s="407"/>
      <c r="P464" s="407"/>
      <c r="Q464" s="407"/>
      <c r="R464" s="407"/>
      <c r="S464" s="407">
        <v>22300</v>
      </c>
      <c r="T464" s="407">
        <v>45100</v>
      </c>
      <c r="U464" s="407"/>
      <c r="V464" s="407"/>
      <c r="W464" s="407"/>
      <c r="X464" s="407">
        <f>45100-22300</f>
        <v>22800</v>
      </c>
      <c r="Y464" s="407"/>
      <c r="Z464" s="407">
        <f>22297.39+1285.65</f>
        <v>23583.04</v>
      </c>
      <c r="AA464" s="407">
        <f t="shared" si="52"/>
        <v>66616.96</v>
      </c>
      <c r="AC464" s="501"/>
      <c r="AD464" s="512">
        <v>90200</v>
      </c>
      <c r="AE464" s="507"/>
      <c r="AF464" s="507" t="s">
        <v>1782</v>
      </c>
      <c r="AG464" s="507" t="s">
        <v>504</v>
      </c>
      <c r="AH464" s="507"/>
    </row>
    <row r="465" spans="1:34" s="362" customFormat="1" ht="31.5">
      <c r="A465" s="607"/>
      <c r="B465" s="582"/>
      <c r="C465" s="167"/>
      <c r="D465" s="360" t="s">
        <v>1544</v>
      </c>
      <c r="E465" s="142"/>
      <c r="F465" s="143"/>
      <c r="G465" s="142"/>
      <c r="H465" s="417">
        <v>3142</v>
      </c>
      <c r="I465" s="144">
        <v>198300</v>
      </c>
      <c r="J465" s="144"/>
      <c r="K465" s="144"/>
      <c r="L465" s="49"/>
      <c r="M465" s="49">
        <v>198300</v>
      </c>
      <c r="N465" s="407"/>
      <c r="O465" s="407"/>
      <c r="P465" s="407"/>
      <c r="Q465" s="407"/>
      <c r="R465" s="407"/>
      <c r="S465" s="407">
        <v>60000</v>
      </c>
      <c r="T465" s="407"/>
      <c r="U465" s="407">
        <v>69150</v>
      </c>
      <c r="V465" s="407"/>
      <c r="W465" s="407"/>
      <c r="X465" s="407">
        <v>69150</v>
      </c>
      <c r="Y465" s="407"/>
      <c r="Z465" s="407"/>
      <c r="AA465" s="407">
        <f t="shared" si="52"/>
        <v>198300</v>
      </c>
      <c r="AC465" s="501"/>
      <c r="AD465" s="512">
        <v>198300</v>
      </c>
      <c r="AE465" s="507"/>
      <c r="AF465" s="507" t="s">
        <v>1783</v>
      </c>
      <c r="AG465" s="507" t="s">
        <v>504</v>
      </c>
      <c r="AH465" s="507"/>
    </row>
    <row r="466" spans="1:34" s="362" customFormat="1" ht="15.75">
      <c r="A466" s="607"/>
      <c r="B466" s="582"/>
      <c r="C466" s="167"/>
      <c r="D466" s="360" t="s">
        <v>1634</v>
      </c>
      <c r="E466" s="142"/>
      <c r="F466" s="143"/>
      <c r="G466" s="142"/>
      <c r="H466" s="417">
        <v>3142</v>
      </c>
      <c r="I466" s="144">
        <v>300000</v>
      </c>
      <c r="J466" s="144"/>
      <c r="K466" s="144"/>
      <c r="L466" s="49"/>
      <c r="M466" s="49">
        <v>300000</v>
      </c>
      <c r="N466" s="407"/>
      <c r="O466" s="407"/>
      <c r="P466" s="407"/>
      <c r="Q466" s="407"/>
      <c r="R466" s="407"/>
      <c r="S466" s="407"/>
      <c r="T466" s="407">
        <v>90000</v>
      </c>
      <c r="U466" s="407"/>
      <c r="V466" s="407">
        <v>105000</v>
      </c>
      <c r="W466" s="407">
        <v>23000</v>
      </c>
      <c r="X466" s="407"/>
      <c r="Y466" s="407">
        <f>105000-23000</f>
        <v>82000</v>
      </c>
      <c r="Z466" s="407">
        <f>87000+108000+22713.6</f>
        <v>217713.6</v>
      </c>
      <c r="AA466" s="407">
        <f t="shared" si="52"/>
        <v>286.4</v>
      </c>
      <c r="AC466" s="501"/>
      <c r="AD466" s="512">
        <v>300000</v>
      </c>
      <c r="AE466" s="507"/>
      <c r="AF466" s="507" t="s">
        <v>1784</v>
      </c>
      <c r="AG466" s="507" t="s">
        <v>504</v>
      </c>
      <c r="AH466" s="507"/>
    </row>
    <row r="467" spans="1:34" s="362" customFormat="1" ht="15.75" hidden="1">
      <c r="A467" s="356"/>
      <c r="B467" s="357"/>
      <c r="C467" s="167"/>
      <c r="D467" s="360" t="s">
        <v>2050</v>
      </c>
      <c r="E467" s="142"/>
      <c r="F467" s="143"/>
      <c r="G467" s="142"/>
      <c r="H467" s="417">
        <v>3142</v>
      </c>
      <c r="I467" s="144">
        <f>15000-15000</f>
        <v>0</v>
      </c>
      <c r="J467" s="144"/>
      <c r="K467" s="144"/>
      <c r="L467" s="49"/>
      <c r="M467" s="49"/>
      <c r="N467" s="407"/>
      <c r="O467" s="407"/>
      <c r="P467" s="407"/>
      <c r="Q467" s="407"/>
      <c r="R467" s="407"/>
      <c r="S467" s="407"/>
      <c r="T467" s="407"/>
      <c r="U467" s="407">
        <v>10000</v>
      </c>
      <c r="V467" s="407"/>
      <c r="W467" s="407">
        <v>-10000</v>
      </c>
      <c r="X467" s="407">
        <f>5000-5000</f>
        <v>0</v>
      </c>
      <c r="Y467" s="407"/>
      <c r="Z467" s="407"/>
      <c r="AA467" s="407">
        <f t="shared" si="52"/>
        <v>0</v>
      </c>
      <c r="AC467" s="501"/>
      <c r="AD467" s="512">
        <v>15000</v>
      </c>
      <c r="AE467" s="507"/>
      <c r="AF467" s="507"/>
      <c r="AG467" s="507"/>
      <c r="AH467" s="507"/>
    </row>
    <row r="468" spans="1:34" s="362" customFormat="1" ht="31.5">
      <c r="A468" s="438"/>
      <c r="B468" s="438"/>
      <c r="C468" s="167"/>
      <c r="D468" s="358" t="s">
        <v>1545</v>
      </c>
      <c r="E468" s="142"/>
      <c r="F468" s="143"/>
      <c r="G468" s="142"/>
      <c r="H468" s="417">
        <v>3142</v>
      </c>
      <c r="I468" s="144">
        <v>200000</v>
      </c>
      <c r="J468" s="144"/>
      <c r="K468" s="144"/>
      <c r="L468" s="49"/>
      <c r="M468" s="49">
        <v>200000</v>
      </c>
      <c r="N468" s="407"/>
      <c r="O468" s="407"/>
      <c r="P468" s="407"/>
      <c r="Q468" s="407"/>
      <c r="R468" s="407"/>
      <c r="S468" s="407"/>
      <c r="T468" s="407">
        <v>60000</v>
      </c>
      <c r="U468" s="407"/>
      <c r="V468" s="407">
        <v>70000</v>
      </c>
      <c r="W468" s="407"/>
      <c r="X468" s="407"/>
      <c r="Y468" s="407">
        <v>70000</v>
      </c>
      <c r="Z468" s="407">
        <v>59070</v>
      </c>
      <c r="AA468" s="407">
        <f t="shared" si="52"/>
        <v>70930</v>
      </c>
      <c r="AC468" s="501"/>
      <c r="AD468" s="512">
        <v>200000</v>
      </c>
      <c r="AE468" s="507"/>
      <c r="AF468" s="507" t="s">
        <v>1785</v>
      </c>
      <c r="AG468" s="507" t="s">
        <v>504</v>
      </c>
      <c r="AH468" s="507"/>
    </row>
    <row r="469" spans="1:34" s="30" customFormat="1" ht="20.25" customHeight="1">
      <c r="A469" s="605">
        <v>150112</v>
      </c>
      <c r="B469" s="581" t="s">
        <v>1635</v>
      </c>
      <c r="C469" s="195"/>
      <c r="D469" s="136" t="s">
        <v>1456</v>
      </c>
      <c r="E469" s="137"/>
      <c r="F469" s="159"/>
      <c r="G469" s="137"/>
      <c r="H469" s="416"/>
      <c r="I469" s="139">
        <f aca="true" t="shared" si="60" ref="I469:Z469">SUM(I470:I473)</f>
        <v>110341.77</v>
      </c>
      <c r="J469" s="139">
        <f t="shared" si="60"/>
        <v>0</v>
      </c>
      <c r="K469" s="139">
        <f t="shared" si="60"/>
        <v>0</v>
      </c>
      <c r="L469" s="139">
        <f t="shared" si="60"/>
        <v>20841.77</v>
      </c>
      <c r="M469" s="139">
        <f t="shared" si="60"/>
        <v>79000</v>
      </c>
      <c r="N469" s="139">
        <f t="shared" si="60"/>
        <v>0</v>
      </c>
      <c r="O469" s="139">
        <f t="shared" si="60"/>
        <v>20841.77</v>
      </c>
      <c r="P469" s="139">
        <f t="shared" si="60"/>
        <v>0</v>
      </c>
      <c r="Q469" s="139">
        <f t="shared" si="60"/>
        <v>0</v>
      </c>
      <c r="R469" s="139">
        <f t="shared" si="60"/>
        <v>0</v>
      </c>
      <c r="S469" s="139">
        <f t="shared" si="60"/>
        <v>0</v>
      </c>
      <c r="T469" s="139">
        <f t="shared" si="60"/>
        <v>0</v>
      </c>
      <c r="U469" s="139">
        <f t="shared" si="60"/>
        <v>65000</v>
      </c>
      <c r="V469" s="139">
        <f t="shared" si="60"/>
        <v>0</v>
      </c>
      <c r="W469" s="139">
        <f t="shared" si="60"/>
        <v>10500</v>
      </c>
      <c r="X469" s="139">
        <f t="shared" si="60"/>
        <v>14000</v>
      </c>
      <c r="Y469" s="139">
        <f t="shared" si="60"/>
        <v>0</v>
      </c>
      <c r="Z469" s="139">
        <f t="shared" si="60"/>
        <v>20841.77</v>
      </c>
      <c r="AA469" s="407">
        <f t="shared" si="52"/>
        <v>89500</v>
      </c>
      <c r="AC469" s="59"/>
      <c r="AD469" s="512"/>
      <c r="AE469" s="507"/>
      <c r="AF469" s="507"/>
      <c r="AG469" s="507"/>
      <c r="AH469" s="507"/>
    </row>
    <row r="470" spans="1:34" ht="47.25">
      <c r="A470" s="607"/>
      <c r="B470" s="582"/>
      <c r="C470" s="222" t="s">
        <v>1636</v>
      </c>
      <c r="D470" s="141" t="s">
        <v>210</v>
      </c>
      <c r="E470" s="142">
        <v>324.49488</v>
      </c>
      <c r="F470" s="143">
        <f>100%-((E470-G470)/E470)</f>
        <v>1</v>
      </c>
      <c r="G470" s="142">
        <v>324.49488</v>
      </c>
      <c r="H470" s="417">
        <v>3142</v>
      </c>
      <c r="I470" s="144">
        <v>20841.77</v>
      </c>
      <c r="J470" s="144"/>
      <c r="K470" s="144"/>
      <c r="L470" s="144">
        <v>20841.77</v>
      </c>
      <c r="M470" s="144"/>
      <c r="N470" s="407"/>
      <c r="O470" s="144">
        <v>20841.77</v>
      </c>
      <c r="P470" s="407"/>
      <c r="Q470" s="407"/>
      <c r="R470" s="407"/>
      <c r="S470" s="407"/>
      <c r="T470" s="407"/>
      <c r="U470" s="407"/>
      <c r="V470" s="407"/>
      <c r="W470" s="407"/>
      <c r="X470" s="407"/>
      <c r="Y470" s="407"/>
      <c r="Z470" s="144">
        <v>20841.77</v>
      </c>
      <c r="AA470" s="407">
        <f t="shared" si="52"/>
        <v>0</v>
      </c>
      <c r="AC470" s="499"/>
      <c r="AD470" s="512">
        <v>20841.77</v>
      </c>
      <c r="AE470" s="507"/>
      <c r="AF470" s="507"/>
      <c r="AG470" s="507"/>
      <c r="AH470" s="507"/>
    </row>
    <row r="471" spans="1:34" s="362" customFormat="1" ht="31.5">
      <c r="A471" s="607"/>
      <c r="B471" s="582"/>
      <c r="C471" s="135" t="s">
        <v>211</v>
      </c>
      <c r="D471" s="361" t="s">
        <v>1909</v>
      </c>
      <c r="E471" s="142">
        <v>20</v>
      </c>
      <c r="F471" s="143">
        <f>100%-((E471-G471)/E471)</f>
        <v>1</v>
      </c>
      <c r="G471" s="142">
        <v>20</v>
      </c>
      <c r="H471" s="417">
        <v>3142</v>
      </c>
      <c r="I471" s="144">
        <v>26000</v>
      </c>
      <c r="J471" s="144"/>
      <c r="K471" s="144"/>
      <c r="L471" s="49"/>
      <c r="M471" s="49">
        <v>26000</v>
      </c>
      <c r="N471" s="407"/>
      <c r="O471" s="407"/>
      <c r="P471" s="407"/>
      <c r="Q471" s="407"/>
      <c r="R471" s="407"/>
      <c r="S471" s="407"/>
      <c r="T471" s="407"/>
      <c r="U471" s="407">
        <v>26000</v>
      </c>
      <c r="V471" s="407"/>
      <c r="W471" s="407"/>
      <c r="X471" s="407"/>
      <c r="Y471" s="407"/>
      <c r="Z471" s="407"/>
      <c r="AA471" s="407">
        <f t="shared" si="52"/>
        <v>26000</v>
      </c>
      <c r="AC471" s="501"/>
      <c r="AD471" s="512">
        <v>26000</v>
      </c>
      <c r="AE471" s="507"/>
      <c r="AF471" s="507" t="s">
        <v>1786</v>
      </c>
      <c r="AG471" s="507" t="s">
        <v>495</v>
      </c>
      <c r="AH471" s="507"/>
    </row>
    <row r="472" spans="1:34" s="362" customFormat="1" ht="31.5">
      <c r="A472" s="607"/>
      <c r="B472" s="582"/>
      <c r="C472" s="135" t="s">
        <v>593</v>
      </c>
      <c r="D472" s="361" t="s">
        <v>1546</v>
      </c>
      <c r="E472" s="142">
        <v>30</v>
      </c>
      <c r="F472" s="143">
        <f>100%-((E472-G472)/E472)</f>
        <v>1</v>
      </c>
      <c r="G472" s="142">
        <v>30</v>
      </c>
      <c r="H472" s="417">
        <v>3142</v>
      </c>
      <c r="I472" s="144">
        <f>39000+10500</f>
        <v>49500</v>
      </c>
      <c r="J472" s="144"/>
      <c r="K472" s="144"/>
      <c r="L472" s="49"/>
      <c r="M472" s="49">
        <v>39000</v>
      </c>
      <c r="N472" s="407"/>
      <c r="O472" s="407"/>
      <c r="P472" s="407"/>
      <c r="Q472" s="407"/>
      <c r="R472" s="407"/>
      <c r="S472" s="407"/>
      <c r="T472" s="407"/>
      <c r="U472" s="407">
        <v>39000</v>
      </c>
      <c r="V472" s="407"/>
      <c r="W472" s="407">
        <v>10500</v>
      </c>
      <c r="X472" s="407"/>
      <c r="Y472" s="407"/>
      <c r="Z472" s="407"/>
      <c r="AA472" s="407">
        <f t="shared" si="52"/>
        <v>49500</v>
      </c>
      <c r="AC472" s="501"/>
      <c r="AD472" s="512">
        <v>39000</v>
      </c>
      <c r="AE472" s="507"/>
      <c r="AF472" s="507" t="s">
        <v>1787</v>
      </c>
      <c r="AG472" s="507" t="s">
        <v>504</v>
      </c>
      <c r="AH472" s="507"/>
    </row>
    <row r="473" spans="1:34" s="362" customFormat="1" ht="31.5">
      <c r="A473" s="607"/>
      <c r="B473" s="582"/>
      <c r="C473" s="135" t="s">
        <v>595</v>
      </c>
      <c r="D473" s="359" t="s">
        <v>1547</v>
      </c>
      <c r="E473" s="142">
        <v>45</v>
      </c>
      <c r="F473" s="143">
        <f>100%-((E473-G473)/E473)</f>
        <v>1</v>
      </c>
      <c r="G473" s="142">
        <v>45</v>
      </c>
      <c r="H473" s="417">
        <v>3122</v>
      </c>
      <c r="I473" s="144">
        <v>14000</v>
      </c>
      <c r="J473" s="144"/>
      <c r="K473" s="144"/>
      <c r="L473" s="49"/>
      <c r="M473" s="49">
        <v>14000</v>
      </c>
      <c r="N473" s="407"/>
      <c r="O473" s="407"/>
      <c r="P473" s="407"/>
      <c r="Q473" s="407"/>
      <c r="R473" s="407"/>
      <c r="S473" s="407"/>
      <c r="T473" s="407"/>
      <c r="U473" s="407"/>
      <c r="V473" s="407"/>
      <c r="W473" s="407"/>
      <c r="X473" s="407">
        <v>14000</v>
      </c>
      <c r="Y473" s="407"/>
      <c r="Z473" s="407"/>
      <c r="AA473" s="407">
        <f t="shared" si="52"/>
        <v>14000</v>
      </c>
      <c r="AC473" s="501"/>
      <c r="AD473" s="512">
        <v>14000</v>
      </c>
      <c r="AE473" s="507"/>
      <c r="AF473" s="507" t="s">
        <v>1788</v>
      </c>
      <c r="AG473" s="507" t="s">
        <v>504</v>
      </c>
      <c r="AH473" s="507"/>
    </row>
    <row r="474" spans="1:34" s="30" customFormat="1" ht="21.75" customHeight="1">
      <c r="A474" s="605">
        <v>180409</v>
      </c>
      <c r="B474" s="605" t="s">
        <v>753</v>
      </c>
      <c r="C474" s="223"/>
      <c r="D474" s="224"/>
      <c r="E474" s="137"/>
      <c r="F474" s="159"/>
      <c r="G474" s="137"/>
      <c r="H474" s="416"/>
      <c r="I474" s="139">
        <f>I476+I485</f>
        <v>6224187.25</v>
      </c>
      <c r="J474" s="139">
        <f>J475+J476+J482+J485+J483</f>
        <v>0</v>
      </c>
      <c r="K474" s="139">
        <f>K475+K476+K482+K485+K483</f>
        <v>0</v>
      </c>
      <c r="L474" s="139">
        <f>L475+L476+L482+L485+L483</f>
        <v>0</v>
      </c>
      <c r="M474" s="139">
        <f>M475+M476+M482+M485+M483</f>
        <v>6354187.25</v>
      </c>
      <c r="N474" s="139">
        <f aca="true" t="shared" si="61" ref="N474:Z474">N475+N476+N482+N485+N483</f>
        <v>0</v>
      </c>
      <c r="O474" s="139">
        <f t="shared" si="61"/>
        <v>0</v>
      </c>
      <c r="P474" s="139">
        <f t="shared" si="61"/>
        <v>0</v>
      </c>
      <c r="Q474" s="139">
        <f t="shared" si="61"/>
        <v>0</v>
      </c>
      <c r="R474" s="139">
        <f t="shared" si="61"/>
        <v>3328199.72</v>
      </c>
      <c r="S474" s="139">
        <f t="shared" si="61"/>
        <v>864075.2</v>
      </c>
      <c r="T474" s="139">
        <f t="shared" si="61"/>
        <v>433732.33</v>
      </c>
      <c r="U474" s="139">
        <f t="shared" si="61"/>
        <v>606642</v>
      </c>
      <c r="V474" s="139">
        <f t="shared" si="61"/>
        <v>671538</v>
      </c>
      <c r="W474" s="139">
        <f t="shared" si="61"/>
        <v>-130000</v>
      </c>
      <c r="X474" s="139">
        <f t="shared" si="61"/>
        <v>450000</v>
      </c>
      <c r="Y474" s="139">
        <f t="shared" si="61"/>
        <v>0</v>
      </c>
      <c r="Z474" s="139">
        <f t="shared" si="61"/>
        <v>4034246.24</v>
      </c>
      <c r="AA474" s="407">
        <f t="shared" si="52"/>
        <v>2189941.01</v>
      </c>
      <c r="AC474" s="59"/>
      <c r="AD474" s="512"/>
      <c r="AE474" s="507"/>
      <c r="AF474" s="507"/>
      <c r="AG474" s="507"/>
      <c r="AH474" s="507"/>
    </row>
    <row r="475" spans="1:34" ht="47.25" hidden="1">
      <c r="A475" s="607"/>
      <c r="B475" s="607"/>
      <c r="C475" s="135" t="s">
        <v>1910</v>
      </c>
      <c r="D475" s="225" t="s">
        <v>333</v>
      </c>
      <c r="E475" s="142"/>
      <c r="F475" s="143"/>
      <c r="G475" s="172"/>
      <c r="H475" s="420"/>
      <c r="I475" s="144" t="e">
        <f>J475+K475+L475+M475+#REF!+#REF!</f>
        <v>#REF!</v>
      </c>
      <c r="J475" s="169"/>
      <c r="K475" s="467"/>
      <c r="L475" s="169"/>
      <c r="M475" s="169"/>
      <c r="N475" s="407"/>
      <c r="O475" s="407"/>
      <c r="P475" s="407"/>
      <c r="Q475" s="407"/>
      <c r="R475" s="407"/>
      <c r="S475" s="407"/>
      <c r="T475" s="407"/>
      <c r="U475" s="407"/>
      <c r="V475" s="407"/>
      <c r="W475" s="407"/>
      <c r="X475" s="407"/>
      <c r="Y475" s="407"/>
      <c r="Z475" s="407"/>
      <c r="AA475" s="407">
        <f t="shared" si="52"/>
        <v>0</v>
      </c>
      <c r="AC475" s="499"/>
      <c r="AD475" s="512"/>
      <c r="AE475" s="507"/>
      <c r="AF475" s="507"/>
      <c r="AG475" s="507"/>
      <c r="AH475" s="507"/>
    </row>
    <row r="476" spans="1:34" s="30" customFormat="1" ht="15.75">
      <c r="A476" s="607"/>
      <c r="B476" s="607"/>
      <c r="C476" s="227"/>
      <c r="D476" s="228" t="s">
        <v>334</v>
      </c>
      <c r="E476" s="172"/>
      <c r="F476" s="229"/>
      <c r="G476" s="172"/>
      <c r="H476" s="420"/>
      <c r="I476" s="169">
        <f>SUM(I477:I481)</f>
        <v>521419.45</v>
      </c>
      <c r="J476" s="169">
        <f>SUM(J477:J481)</f>
        <v>0</v>
      </c>
      <c r="K476" s="169">
        <f>SUM(K477:K481)</f>
        <v>0</v>
      </c>
      <c r="L476" s="169">
        <f>SUM(L477:L481)</f>
        <v>0</v>
      </c>
      <c r="M476" s="169">
        <f>SUM(M477:M481)</f>
        <v>521419.45</v>
      </c>
      <c r="N476" s="169">
        <f aca="true" t="shared" si="62" ref="N476:Z476">SUM(N477:N481)</f>
        <v>0</v>
      </c>
      <c r="O476" s="169">
        <f t="shared" si="62"/>
        <v>0</v>
      </c>
      <c r="P476" s="169">
        <f t="shared" si="62"/>
        <v>0</v>
      </c>
      <c r="Q476" s="169">
        <f t="shared" si="62"/>
        <v>0</v>
      </c>
      <c r="R476" s="169">
        <f t="shared" si="62"/>
        <v>0</v>
      </c>
      <c r="S476" s="169">
        <f t="shared" si="62"/>
        <v>71419.45</v>
      </c>
      <c r="T476" s="169">
        <f t="shared" si="62"/>
        <v>0</v>
      </c>
      <c r="U476" s="169">
        <f t="shared" si="62"/>
        <v>0</v>
      </c>
      <c r="V476" s="169">
        <f t="shared" si="62"/>
        <v>300000</v>
      </c>
      <c r="W476" s="169">
        <f t="shared" si="62"/>
        <v>0</v>
      </c>
      <c r="X476" s="169">
        <f t="shared" si="62"/>
        <v>150000</v>
      </c>
      <c r="Y476" s="169">
        <f t="shared" si="62"/>
        <v>0</v>
      </c>
      <c r="Z476" s="169">
        <f t="shared" si="62"/>
        <v>71419.45</v>
      </c>
      <c r="AA476" s="407">
        <f t="shared" si="52"/>
        <v>450000</v>
      </c>
      <c r="AC476" s="59"/>
      <c r="AD476" s="512"/>
      <c r="AE476" s="507"/>
      <c r="AF476" s="507"/>
      <c r="AG476" s="507"/>
      <c r="AH476" s="507"/>
    </row>
    <row r="477" spans="1:34" s="362" customFormat="1" ht="31.5">
      <c r="A477" s="607"/>
      <c r="B477" s="607"/>
      <c r="C477" s="167" t="s">
        <v>335</v>
      </c>
      <c r="D477" s="381" t="s">
        <v>2046</v>
      </c>
      <c r="E477" s="172"/>
      <c r="F477" s="143"/>
      <c r="G477" s="172"/>
      <c r="H477" s="417">
        <v>3210</v>
      </c>
      <c r="I477" s="144">
        <f>300000+150000</f>
        <v>450000</v>
      </c>
      <c r="J477" s="144"/>
      <c r="K477" s="144"/>
      <c r="L477" s="49"/>
      <c r="M477" s="49">
        <v>300000</v>
      </c>
      <c r="N477" s="407"/>
      <c r="O477" s="407"/>
      <c r="P477" s="407"/>
      <c r="Q477" s="407"/>
      <c r="R477" s="407"/>
      <c r="S477" s="407"/>
      <c r="T477" s="407"/>
      <c r="U477" s="407"/>
      <c r="V477" s="407">
        <v>300000</v>
      </c>
      <c r="W477" s="407"/>
      <c r="X477" s="407">
        <v>150000</v>
      </c>
      <c r="Y477" s="407"/>
      <c r="Z477" s="407"/>
      <c r="AA477" s="407">
        <f aca="true" t="shared" si="63" ref="AA477:AA543">N477+O477+P477+Q477+R477+S477+T477+U477+V477+W477+X477-Z477</f>
        <v>450000</v>
      </c>
      <c r="AC477" s="501"/>
      <c r="AD477" s="512">
        <v>300000</v>
      </c>
      <c r="AE477" s="507"/>
      <c r="AF477" s="507"/>
      <c r="AG477" s="507"/>
      <c r="AH477" s="507"/>
    </row>
    <row r="478" spans="1:34" s="362" customFormat="1" ht="31.5" hidden="1">
      <c r="A478" s="607"/>
      <c r="B478" s="607"/>
      <c r="C478" s="167"/>
      <c r="D478" s="381" t="s">
        <v>645</v>
      </c>
      <c r="E478" s="172"/>
      <c r="F478" s="143"/>
      <c r="G478" s="172"/>
      <c r="H478" s="417">
        <v>3210</v>
      </c>
      <c r="I478" s="144">
        <f>150000-150000</f>
        <v>0</v>
      </c>
      <c r="J478" s="144"/>
      <c r="K478" s="144"/>
      <c r="L478" s="49"/>
      <c r="M478" s="49">
        <v>150000</v>
      </c>
      <c r="N478" s="407"/>
      <c r="O478" s="407"/>
      <c r="P478" s="407"/>
      <c r="Q478" s="407"/>
      <c r="R478" s="407"/>
      <c r="S478" s="407"/>
      <c r="T478" s="407"/>
      <c r="U478" s="407"/>
      <c r="V478" s="407"/>
      <c r="W478" s="407"/>
      <c r="X478" s="407">
        <f>150000-150000</f>
        <v>0</v>
      </c>
      <c r="Y478" s="407"/>
      <c r="Z478" s="407"/>
      <c r="AA478" s="407">
        <f t="shared" si="63"/>
        <v>0</v>
      </c>
      <c r="AC478" s="501"/>
      <c r="AD478" s="512">
        <v>150000</v>
      </c>
      <c r="AE478" s="507"/>
      <c r="AF478" s="507"/>
      <c r="AG478" s="507"/>
      <c r="AH478" s="507"/>
    </row>
    <row r="479" spans="1:34" s="362" customFormat="1" ht="25.5">
      <c r="A479" s="607"/>
      <c r="B479" s="607"/>
      <c r="C479" s="167"/>
      <c r="D479" s="383" t="s">
        <v>646</v>
      </c>
      <c r="E479" s="172"/>
      <c r="F479" s="143"/>
      <c r="G479" s="172"/>
      <c r="H479" s="417">
        <v>3210</v>
      </c>
      <c r="I479" s="144">
        <v>14625</v>
      </c>
      <c r="J479" s="144"/>
      <c r="K479" s="144"/>
      <c r="L479" s="49"/>
      <c r="M479" s="49">
        <v>14625</v>
      </c>
      <c r="N479" s="407"/>
      <c r="O479" s="407"/>
      <c r="P479" s="407"/>
      <c r="Q479" s="407"/>
      <c r="R479" s="407"/>
      <c r="S479" s="407">
        <v>14625</v>
      </c>
      <c r="T479" s="407"/>
      <c r="U479" s="407"/>
      <c r="V479" s="407"/>
      <c r="W479" s="407"/>
      <c r="X479" s="407"/>
      <c r="Y479" s="407"/>
      <c r="Z479" s="407">
        <v>14625</v>
      </c>
      <c r="AA479" s="407">
        <f t="shared" si="63"/>
        <v>0</v>
      </c>
      <c r="AC479" s="501"/>
      <c r="AD479" s="512">
        <v>14625</v>
      </c>
      <c r="AE479" s="507"/>
      <c r="AF479" s="507" t="s">
        <v>1789</v>
      </c>
      <c r="AG479" s="507"/>
      <c r="AH479" s="507"/>
    </row>
    <row r="480" spans="1:34" s="362" customFormat="1" ht="25.5">
      <c r="A480" s="607"/>
      <c r="B480" s="607"/>
      <c r="C480" s="167"/>
      <c r="D480" s="383" t="s">
        <v>647</v>
      </c>
      <c r="E480" s="172"/>
      <c r="F480" s="143"/>
      <c r="G480" s="172"/>
      <c r="H480" s="417">
        <v>3210</v>
      </c>
      <c r="I480" s="144">
        <v>38585.76</v>
      </c>
      <c r="J480" s="144"/>
      <c r="K480" s="144"/>
      <c r="L480" s="49"/>
      <c r="M480" s="49">
        <v>38585.76</v>
      </c>
      <c r="N480" s="407"/>
      <c r="O480" s="407"/>
      <c r="P480" s="407"/>
      <c r="Q480" s="407"/>
      <c r="R480" s="407"/>
      <c r="S480" s="49">
        <v>38585.76</v>
      </c>
      <c r="T480" s="407"/>
      <c r="U480" s="407"/>
      <c r="V480" s="407"/>
      <c r="W480" s="407"/>
      <c r="X480" s="407"/>
      <c r="Y480" s="407"/>
      <c r="Z480" s="407">
        <v>38585.76</v>
      </c>
      <c r="AA480" s="407">
        <f t="shared" si="63"/>
        <v>0</v>
      </c>
      <c r="AC480" s="501"/>
      <c r="AD480" s="512">
        <v>38585.76</v>
      </c>
      <c r="AE480" s="507"/>
      <c r="AF480" s="507" t="s">
        <v>649</v>
      </c>
      <c r="AG480" s="507"/>
      <c r="AH480" s="507"/>
    </row>
    <row r="481" spans="1:34" s="362" customFormat="1" ht="31.5">
      <c r="A481" s="607"/>
      <c r="B481" s="607"/>
      <c r="C481" s="167"/>
      <c r="D481" s="383" t="s">
        <v>648</v>
      </c>
      <c r="E481" s="172"/>
      <c r="F481" s="143"/>
      <c r="G481" s="172"/>
      <c r="H481" s="417">
        <v>3210</v>
      </c>
      <c r="I481" s="144">
        <v>18208.69</v>
      </c>
      <c r="J481" s="144"/>
      <c r="K481" s="144"/>
      <c r="L481" s="49"/>
      <c r="M481" s="49">
        <v>18208.69</v>
      </c>
      <c r="N481" s="407"/>
      <c r="O481" s="407"/>
      <c r="P481" s="407"/>
      <c r="Q481" s="407"/>
      <c r="R481" s="407"/>
      <c r="S481" s="49">
        <v>18208.69</v>
      </c>
      <c r="T481" s="407"/>
      <c r="U481" s="407"/>
      <c r="V481" s="407"/>
      <c r="W481" s="407"/>
      <c r="X481" s="407"/>
      <c r="Y481" s="407"/>
      <c r="Z481" s="407">
        <v>18208.69</v>
      </c>
      <c r="AA481" s="407">
        <f t="shared" si="63"/>
        <v>0</v>
      </c>
      <c r="AC481" s="501"/>
      <c r="AD481" s="512">
        <v>18208.69</v>
      </c>
      <c r="AE481" s="507"/>
      <c r="AF481" s="507" t="s">
        <v>650</v>
      </c>
      <c r="AG481" s="507"/>
      <c r="AH481" s="507"/>
    </row>
    <row r="482" spans="1:34" ht="47.25" hidden="1">
      <c r="A482" s="607"/>
      <c r="B482" s="607"/>
      <c r="C482" s="167" t="s">
        <v>1921</v>
      </c>
      <c r="D482" s="228" t="s">
        <v>1922</v>
      </c>
      <c r="E482" s="172"/>
      <c r="F482" s="143"/>
      <c r="G482" s="172"/>
      <c r="H482" s="417">
        <v>3210</v>
      </c>
      <c r="I482" s="169" t="e">
        <f>J482+K482+L482+M482+#REF!+#REF!</f>
        <v>#REF!</v>
      </c>
      <c r="J482" s="169"/>
      <c r="K482" s="169"/>
      <c r="L482" s="169"/>
      <c r="M482" s="169"/>
      <c r="N482" s="407"/>
      <c r="O482" s="407"/>
      <c r="P482" s="407"/>
      <c r="Q482" s="407"/>
      <c r="R482" s="407"/>
      <c r="S482" s="407"/>
      <c r="T482" s="407"/>
      <c r="U482" s="407"/>
      <c r="V482" s="407"/>
      <c r="W482" s="407"/>
      <c r="X482" s="407"/>
      <c r="Y482" s="407"/>
      <c r="Z482" s="407"/>
      <c r="AA482" s="407">
        <f t="shared" si="63"/>
        <v>0</v>
      </c>
      <c r="AC482" s="499"/>
      <c r="AD482" s="512"/>
      <c r="AE482" s="507"/>
      <c r="AF482" s="507"/>
      <c r="AG482" s="507"/>
      <c r="AH482" s="507"/>
    </row>
    <row r="483" spans="1:34" ht="15.75" hidden="1">
      <c r="A483" s="607"/>
      <c r="B483" s="607"/>
      <c r="C483" s="197"/>
      <c r="D483" s="228" t="s">
        <v>1923</v>
      </c>
      <c r="E483" s="172"/>
      <c r="F483" s="143"/>
      <c r="G483" s="172"/>
      <c r="H483" s="417">
        <v>3210</v>
      </c>
      <c r="I483" s="169" t="e">
        <f>J483+K483+L483+M483+#REF!+#REF!</f>
        <v>#REF!</v>
      </c>
      <c r="J483" s="169">
        <f>J484</f>
        <v>0</v>
      </c>
      <c r="K483" s="169">
        <f>K484</f>
        <v>0</v>
      </c>
      <c r="L483" s="169">
        <f>L484</f>
        <v>0</v>
      </c>
      <c r="M483" s="169">
        <f>M484</f>
        <v>0</v>
      </c>
      <c r="N483" s="407"/>
      <c r="O483" s="407"/>
      <c r="P483" s="407"/>
      <c r="Q483" s="407"/>
      <c r="R483" s="407"/>
      <c r="S483" s="407"/>
      <c r="T483" s="407"/>
      <c r="U483" s="407"/>
      <c r="V483" s="407"/>
      <c r="W483" s="407"/>
      <c r="X483" s="407"/>
      <c r="Y483" s="407"/>
      <c r="Z483" s="407"/>
      <c r="AA483" s="407">
        <f t="shared" si="63"/>
        <v>0</v>
      </c>
      <c r="AC483" s="499"/>
      <c r="AD483" s="512"/>
      <c r="AE483" s="507"/>
      <c r="AF483" s="507"/>
      <c r="AG483" s="507"/>
      <c r="AH483" s="507"/>
    </row>
    <row r="484" spans="1:34" s="40" customFormat="1" ht="34.5" customHeight="1" hidden="1">
      <c r="A484" s="607"/>
      <c r="B484" s="607"/>
      <c r="C484" s="197"/>
      <c r="D484" s="208" t="s">
        <v>1269</v>
      </c>
      <c r="E484" s="142"/>
      <c r="F484" s="143"/>
      <c r="G484" s="142"/>
      <c r="H484" s="417">
        <v>3210</v>
      </c>
      <c r="I484" s="169" t="e">
        <f>J484+K484+L484+M484+#REF!+#REF!</f>
        <v>#REF!</v>
      </c>
      <c r="J484" s="144"/>
      <c r="K484" s="144"/>
      <c r="L484" s="144"/>
      <c r="M484" s="144"/>
      <c r="N484" s="407"/>
      <c r="O484" s="407"/>
      <c r="P484" s="407"/>
      <c r="Q484" s="407"/>
      <c r="R484" s="407"/>
      <c r="S484" s="407"/>
      <c r="T484" s="407"/>
      <c r="U484" s="407"/>
      <c r="V484" s="407"/>
      <c r="W484" s="407"/>
      <c r="X484" s="407"/>
      <c r="Y484" s="407"/>
      <c r="Z484" s="407"/>
      <c r="AA484" s="407">
        <f t="shared" si="63"/>
        <v>0</v>
      </c>
      <c r="AC484" s="498"/>
      <c r="AD484" s="512"/>
      <c r="AE484" s="507"/>
      <c r="AF484" s="507"/>
      <c r="AG484" s="507"/>
      <c r="AH484" s="507"/>
    </row>
    <row r="485" spans="1:34" s="30" customFormat="1" ht="15.75">
      <c r="A485" s="607"/>
      <c r="B485" s="607"/>
      <c r="C485" s="614" t="s">
        <v>1270</v>
      </c>
      <c r="D485" s="225" t="s">
        <v>1583</v>
      </c>
      <c r="E485" s="406"/>
      <c r="F485" s="406"/>
      <c r="G485" s="406"/>
      <c r="H485" s="417"/>
      <c r="I485" s="169">
        <f>SUM(I486:I495)</f>
        <v>5702767.8</v>
      </c>
      <c r="J485" s="169">
        <f>SUM(J486:J495)</f>
        <v>0</v>
      </c>
      <c r="K485" s="169">
        <f>SUM(K486:K495)</f>
        <v>0</v>
      </c>
      <c r="L485" s="169">
        <f>SUM(L486:L495)</f>
        <v>0</v>
      </c>
      <c r="M485" s="169">
        <f>SUM(M486:M495)</f>
        <v>5832767.8</v>
      </c>
      <c r="N485" s="169">
        <f aca="true" t="shared" si="64" ref="N485:Z485">SUM(N486:N495)</f>
        <v>0</v>
      </c>
      <c r="O485" s="169">
        <f t="shared" si="64"/>
        <v>0</v>
      </c>
      <c r="P485" s="169">
        <f t="shared" si="64"/>
        <v>0</v>
      </c>
      <c r="Q485" s="169">
        <f t="shared" si="64"/>
        <v>0</v>
      </c>
      <c r="R485" s="169">
        <f t="shared" si="64"/>
        <v>3328199.72</v>
      </c>
      <c r="S485" s="169">
        <f t="shared" si="64"/>
        <v>792655.75</v>
      </c>
      <c r="T485" s="169">
        <f t="shared" si="64"/>
        <v>433732.33</v>
      </c>
      <c r="U485" s="169">
        <f t="shared" si="64"/>
        <v>606642</v>
      </c>
      <c r="V485" s="169">
        <f t="shared" si="64"/>
        <v>371538</v>
      </c>
      <c r="W485" s="169">
        <f t="shared" si="64"/>
        <v>-130000</v>
      </c>
      <c r="X485" s="169">
        <f t="shared" si="64"/>
        <v>300000</v>
      </c>
      <c r="Y485" s="169">
        <f t="shared" si="64"/>
        <v>0</v>
      </c>
      <c r="Z485" s="169">
        <f t="shared" si="64"/>
        <v>3962826.79</v>
      </c>
      <c r="AA485" s="407">
        <f t="shared" si="63"/>
        <v>1739941.01</v>
      </c>
      <c r="AC485" s="59"/>
      <c r="AD485" s="512"/>
      <c r="AE485" s="507"/>
      <c r="AF485" s="507"/>
      <c r="AG485" s="507"/>
      <c r="AH485" s="507"/>
    </row>
    <row r="486" spans="1:34" s="369" customFormat="1" ht="31.5">
      <c r="A486" s="607"/>
      <c r="B486" s="607"/>
      <c r="C486" s="615"/>
      <c r="D486" s="381" t="s">
        <v>1194</v>
      </c>
      <c r="E486" s="406"/>
      <c r="F486" s="406"/>
      <c r="G486" s="406"/>
      <c r="H486" s="417">
        <v>3210</v>
      </c>
      <c r="I486" s="144">
        <f>959340-552032</f>
        <v>407308</v>
      </c>
      <c r="J486" s="169"/>
      <c r="K486" s="169"/>
      <c r="L486" s="49"/>
      <c r="M486" s="49">
        <v>959340</v>
      </c>
      <c r="N486" s="439"/>
      <c r="O486" s="439"/>
      <c r="P486" s="439"/>
      <c r="Q486" s="439"/>
      <c r="R486" s="407"/>
      <c r="S486" s="407"/>
      <c r="T486" s="407"/>
      <c r="U486" s="407">
        <v>287802</v>
      </c>
      <c r="V486" s="407">
        <v>371538</v>
      </c>
      <c r="W486" s="407">
        <v>-552032</v>
      </c>
      <c r="X486" s="407">
        <v>300000</v>
      </c>
      <c r="Y486" s="439"/>
      <c r="Z486" s="439"/>
      <c r="AA486" s="407">
        <f t="shared" si="63"/>
        <v>407308</v>
      </c>
      <c r="AC486" s="503"/>
      <c r="AD486" s="512">
        <v>959340</v>
      </c>
      <c r="AE486" s="507"/>
      <c r="AF486" s="507"/>
      <c r="AG486" s="507"/>
      <c r="AH486" s="507"/>
    </row>
    <row r="487" spans="1:34" s="369" customFormat="1" ht="47.25">
      <c r="A487" s="607"/>
      <c r="B487" s="607"/>
      <c r="C487" s="615"/>
      <c r="D487" s="381" t="s">
        <v>585</v>
      </c>
      <c r="E487" s="406"/>
      <c r="F487" s="406"/>
      <c r="G487" s="406"/>
      <c r="H487" s="417">
        <v>3210</v>
      </c>
      <c r="I487" s="144">
        <v>70000</v>
      </c>
      <c r="J487" s="169"/>
      <c r="K487" s="169"/>
      <c r="L487" s="49"/>
      <c r="M487" s="49">
        <v>70000</v>
      </c>
      <c r="N487" s="439"/>
      <c r="O487" s="439"/>
      <c r="P487" s="439"/>
      <c r="Q487" s="439"/>
      <c r="R487" s="407">
        <v>6000</v>
      </c>
      <c r="S487" s="407">
        <v>64000</v>
      </c>
      <c r="T487" s="407"/>
      <c r="U487" s="407"/>
      <c r="V487" s="407"/>
      <c r="W487" s="407"/>
      <c r="X487" s="407"/>
      <c r="Y487" s="439"/>
      <c r="Z487" s="407">
        <f>5958.32-4676.27+18152.28+26773.92</f>
        <v>46208.25</v>
      </c>
      <c r="AA487" s="407">
        <f t="shared" si="63"/>
        <v>23791.75</v>
      </c>
      <c r="AC487" s="503"/>
      <c r="AD487" s="512">
        <v>70000</v>
      </c>
      <c r="AE487" s="507"/>
      <c r="AF487" s="507" t="s">
        <v>1364</v>
      </c>
      <c r="AG487" s="507"/>
      <c r="AH487" s="507"/>
    </row>
    <row r="488" spans="1:34" s="369" customFormat="1" ht="87.75" customHeight="1">
      <c r="A488" s="607"/>
      <c r="B488" s="607"/>
      <c r="C488" s="615"/>
      <c r="D488" s="381" t="s">
        <v>324</v>
      </c>
      <c r="E488" s="406"/>
      <c r="F488" s="406"/>
      <c r="G488" s="406"/>
      <c r="H488" s="417">
        <v>3210</v>
      </c>
      <c r="I488" s="144">
        <v>828760</v>
      </c>
      <c r="J488" s="169"/>
      <c r="K488" s="169"/>
      <c r="L488" s="49"/>
      <c r="M488" s="49">
        <v>828760</v>
      </c>
      <c r="N488" s="439"/>
      <c r="O488" s="439"/>
      <c r="P488" s="439"/>
      <c r="Q488" s="439"/>
      <c r="R488" s="407">
        <v>250000</v>
      </c>
      <c r="S488" s="407">
        <v>578760</v>
      </c>
      <c r="T488" s="407"/>
      <c r="U488" s="407"/>
      <c r="V488" s="407"/>
      <c r="W488" s="407"/>
      <c r="X488" s="407"/>
      <c r="Y488" s="439"/>
      <c r="Z488" s="407">
        <v>8760</v>
      </c>
      <c r="AA488" s="407">
        <f t="shared" si="63"/>
        <v>820000</v>
      </c>
      <c r="AC488" s="503"/>
      <c r="AD488" s="512">
        <v>828760</v>
      </c>
      <c r="AE488" s="507"/>
      <c r="AF488" s="507" t="s">
        <v>1366</v>
      </c>
      <c r="AG488" s="507"/>
      <c r="AH488" s="507"/>
    </row>
    <row r="489" spans="1:34" s="369" customFormat="1" ht="47.25">
      <c r="A489" s="607"/>
      <c r="B489" s="607"/>
      <c r="C489" s="615"/>
      <c r="D489" s="381" t="s">
        <v>746</v>
      </c>
      <c r="E489" s="406"/>
      <c r="F489" s="406"/>
      <c r="G489" s="406"/>
      <c r="H489" s="417">
        <v>3210</v>
      </c>
      <c r="I489" s="144">
        <v>550532.33</v>
      </c>
      <c r="J489" s="169"/>
      <c r="K489" s="169"/>
      <c r="L489" s="49"/>
      <c r="M489" s="49">
        <v>550532.33</v>
      </c>
      <c r="N489" s="439"/>
      <c r="O489" s="439"/>
      <c r="P489" s="439"/>
      <c r="Q489" s="439"/>
      <c r="R489" s="407">
        <v>165160</v>
      </c>
      <c r="S489" s="407"/>
      <c r="T489" s="407">
        <v>385372.33</v>
      </c>
      <c r="U489" s="407"/>
      <c r="V489" s="407"/>
      <c r="W489" s="407"/>
      <c r="X489" s="407"/>
      <c r="Y489" s="439"/>
      <c r="Z489" s="407">
        <f>155377.8+3832.33+362548.2+6145.42</f>
        <v>527903.75</v>
      </c>
      <c r="AA489" s="407">
        <f t="shared" si="63"/>
        <v>22628.58</v>
      </c>
      <c r="AC489" s="503"/>
      <c r="AD489" s="512">
        <v>550532.33</v>
      </c>
      <c r="AE489" s="507"/>
      <c r="AF489" s="507" t="s">
        <v>1365</v>
      </c>
      <c r="AG489" s="507"/>
      <c r="AH489" s="507"/>
    </row>
    <row r="490" spans="1:34" s="369" customFormat="1" ht="31.5">
      <c r="A490" s="607"/>
      <c r="B490" s="607"/>
      <c r="C490" s="615"/>
      <c r="D490" s="382" t="s">
        <v>747</v>
      </c>
      <c r="E490" s="406"/>
      <c r="F490" s="406"/>
      <c r="G490" s="406"/>
      <c r="H490" s="417">
        <v>3210</v>
      </c>
      <c r="I490" s="144">
        <v>1368.75</v>
      </c>
      <c r="J490" s="169"/>
      <c r="K490" s="169"/>
      <c r="L490" s="49"/>
      <c r="M490" s="49">
        <v>1368.75</v>
      </c>
      <c r="N490" s="439"/>
      <c r="O490" s="439"/>
      <c r="P490" s="439"/>
      <c r="Q490" s="439"/>
      <c r="R490" s="407"/>
      <c r="S490" s="49">
        <v>1368.75</v>
      </c>
      <c r="T490" s="407"/>
      <c r="U490" s="407"/>
      <c r="V490" s="407"/>
      <c r="W490" s="407"/>
      <c r="X490" s="407"/>
      <c r="Y490" s="439"/>
      <c r="Z490" s="407">
        <v>1368.75</v>
      </c>
      <c r="AA490" s="407">
        <f t="shared" si="63"/>
        <v>0</v>
      </c>
      <c r="AC490" s="503"/>
      <c r="AD490" s="512">
        <v>1368.75</v>
      </c>
      <c r="AE490" s="507"/>
      <c r="AF490" s="507" t="s">
        <v>1367</v>
      </c>
      <c r="AG490" s="507"/>
      <c r="AH490" s="507"/>
    </row>
    <row r="491" spans="1:34" s="369" customFormat="1" ht="31.5">
      <c r="A491" s="607"/>
      <c r="B491" s="607"/>
      <c r="C491" s="615"/>
      <c r="D491" s="382" t="s">
        <v>1410</v>
      </c>
      <c r="E491" s="406"/>
      <c r="F491" s="406"/>
      <c r="G491" s="406"/>
      <c r="H491" s="417">
        <v>3210</v>
      </c>
      <c r="I491" s="144">
        <v>52527</v>
      </c>
      <c r="J491" s="169"/>
      <c r="K491" s="169"/>
      <c r="L491" s="49"/>
      <c r="M491" s="49">
        <v>52527</v>
      </c>
      <c r="N491" s="439"/>
      <c r="O491" s="439"/>
      <c r="P491" s="439"/>
      <c r="Q491" s="439"/>
      <c r="R491" s="407"/>
      <c r="S491" s="49">
        <v>52527</v>
      </c>
      <c r="T491" s="407"/>
      <c r="U491" s="407"/>
      <c r="V491" s="407"/>
      <c r="W491" s="407"/>
      <c r="X491" s="407"/>
      <c r="Y491" s="439"/>
      <c r="Z491" s="407">
        <v>52527</v>
      </c>
      <c r="AA491" s="407">
        <f t="shared" si="63"/>
        <v>0</v>
      </c>
      <c r="AC491" s="503"/>
      <c r="AD491" s="512">
        <v>52527</v>
      </c>
      <c r="AE491" s="507"/>
      <c r="AF491" s="507" t="s">
        <v>1368</v>
      </c>
      <c r="AG491" s="507"/>
      <c r="AH491" s="507"/>
    </row>
    <row r="492" spans="1:34" s="369" customFormat="1" ht="51" customHeight="1">
      <c r="A492" s="607"/>
      <c r="B492" s="607"/>
      <c r="C492" s="615"/>
      <c r="D492" s="381" t="s">
        <v>1411</v>
      </c>
      <c r="E492" s="406"/>
      <c r="F492" s="406"/>
      <c r="G492" s="406"/>
      <c r="H492" s="417">
        <v>3210</v>
      </c>
      <c r="I492" s="144">
        <v>169200</v>
      </c>
      <c r="J492" s="169"/>
      <c r="K492" s="169"/>
      <c r="L492" s="49"/>
      <c r="M492" s="49">
        <v>169200</v>
      </c>
      <c r="N492" s="439"/>
      <c r="O492" s="439"/>
      <c r="P492" s="439"/>
      <c r="Q492" s="439"/>
      <c r="R492" s="407"/>
      <c r="S492" s="407">
        <v>8000</v>
      </c>
      <c r="T492" s="407">
        <v>48360</v>
      </c>
      <c r="U492" s="407">
        <v>112840</v>
      </c>
      <c r="V492" s="407"/>
      <c r="W492" s="407"/>
      <c r="X492" s="407"/>
      <c r="Y492" s="439"/>
      <c r="Z492" s="407"/>
      <c r="AA492" s="407">
        <f t="shared" si="63"/>
        <v>169200</v>
      </c>
      <c r="AC492" s="503"/>
      <c r="AD492" s="512">
        <v>169200</v>
      </c>
      <c r="AE492" s="507"/>
      <c r="AF492" s="507"/>
      <c r="AG492" s="507"/>
      <c r="AH492" s="507"/>
    </row>
    <row r="493" spans="1:34" s="369" customFormat="1" ht="63.75">
      <c r="A493" s="644"/>
      <c r="B493" s="644"/>
      <c r="C493" s="615"/>
      <c r="D493" s="381" t="s">
        <v>1412</v>
      </c>
      <c r="E493" s="142">
        <v>70</v>
      </c>
      <c r="F493" s="143">
        <f>100%-((E493-G493)/E493)</f>
        <v>1</v>
      </c>
      <c r="G493" s="142">
        <v>70</v>
      </c>
      <c r="H493" s="417">
        <v>3210</v>
      </c>
      <c r="I493" s="144">
        <f>300000+422032</f>
        <v>722032</v>
      </c>
      <c r="J493" s="169"/>
      <c r="K493" s="169"/>
      <c r="L493" s="49"/>
      <c r="M493" s="49">
        <v>300000</v>
      </c>
      <c r="N493" s="439"/>
      <c r="O493" s="439"/>
      <c r="P493" s="439"/>
      <c r="Q493" s="439"/>
      <c r="R493" s="407">
        <v>6000</v>
      </c>
      <c r="S493" s="407">
        <v>88000</v>
      </c>
      <c r="T493" s="407"/>
      <c r="U493" s="407">
        <v>206000</v>
      </c>
      <c r="V493" s="407"/>
      <c r="W493" s="407">
        <v>422032</v>
      </c>
      <c r="X493" s="407"/>
      <c r="Y493" s="439"/>
      <c r="Z493" s="407">
        <f>5558.88-4416.92+88312.8+209862.28+125742</f>
        <v>425059.04</v>
      </c>
      <c r="AA493" s="407">
        <f t="shared" si="63"/>
        <v>296972.96</v>
      </c>
      <c r="AC493" s="503"/>
      <c r="AD493" s="512">
        <v>300000</v>
      </c>
      <c r="AE493" s="507"/>
      <c r="AF493" s="507" t="s">
        <v>1273</v>
      </c>
      <c r="AG493" s="507"/>
      <c r="AH493" s="507"/>
    </row>
    <row r="494" spans="1:34" s="369" customFormat="1" ht="31.5">
      <c r="A494" s="644"/>
      <c r="B494" s="644"/>
      <c r="C494" s="616"/>
      <c r="D494" s="381" t="s">
        <v>1413</v>
      </c>
      <c r="E494" s="142">
        <v>180</v>
      </c>
      <c r="F494" s="143">
        <f>100%-((E494-G494)/E494)</f>
        <v>1</v>
      </c>
      <c r="G494" s="142">
        <v>180</v>
      </c>
      <c r="H494" s="417">
        <v>3210</v>
      </c>
      <c r="I494" s="144">
        <v>61000</v>
      </c>
      <c r="J494" s="169"/>
      <c r="K494" s="169"/>
      <c r="L494" s="49"/>
      <c r="M494" s="49">
        <v>61000</v>
      </c>
      <c r="N494" s="439"/>
      <c r="O494" s="439"/>
      <c r="P494" s="439"/>
      <c r="Q494" s="439"/>
      <c r="R494" s="407">
        <v>61000</v>
      </c>
      <c r="S494" s="407"/>
      <c r="T494" s="407"/>
      <c r="U494" s="407"/>
      <c r="V494" s="407"/>
      <c r="W494" s="407"/>
      <c r="X494" s="407"/>
      <c r="Y494" s="439"/>
      <c r="Z494" s="407">
        <v>61000</v>
      </c>
      <c r="AA494" s="407">
        <f t="shared" si="63"/>
        <v>0</v>
      </c>
      <c r="AC494" s="503"/>
      <c r="AD494" s="512">
        <v>61000</v>
      </c>
      <c r="AE494" s="507"/>
      <c r="AF494" s="507" t="s">
        <v>1369</v>
      </c>
      <c r="AG494" s="507"/>
      <c r="AH494" s="507"/>
    </row>
    <row r="495" spans="1:34" s="369" customFormat="1" ht="31.5">
      <c r="A495" s="645"/>
      <c r="B495" s="645"/>
      <c r="C495" s="205"/>
      <c r="D495" s="382" t="s">
        <v>1592</v>
      </c>
      <c r="E495" s="142">
        <v>2790</v>
      </c>
      <c r="F495" s="143">
        <f>100%-((E495-G495)/E495)</f>
        <v>1</v>
      </c>
      <c r="G495" s="142">
        <v>2790</v>
      </c>
      <c r="H495" s="417">
        <v>3210</v>
      </c>
      <c r="I495" s="144">
        <v>2840039.72</v>
      </c>
      <c r="J495" s="169"/>
      <c r="K495" s="169"/>
      <c r="L495" s="49"/>
      <c r="M495" s="49">
        <v>2840039.72</v>
      </c>
      <c r="N495" s="439"/>
      <c r="O495" s="439"/>
      <c r="P495" s="439"/>
      <c r="Q495" s="439"/>
      <c r="R495" s="407">
        <v>2840039.72</v>
      </c>
      <c r="S495" s="407"/>
      <c r="T495" s="407"/>
      <c r="U495" s="407"/>
      <c r="V495" s="407"/>
      <c r="W495" s="407"/>
      <c r="X495" s="407"/>
      <c r="Y495" s="439"/>
      <c r="Z495" s="407">
        <f>2840039.72-39.72</f>
        <v>2840000</v>
      </c>
      <c r="AA495" s="407">
        <f t="shared" si="63"/>
        <v>39.72</v>
      </c>
      <c r="AC495" s="503"/>
      <c r="AD495" s="512">
        <v>2840039.72</v>
      </c>
      <c r="AE495" s="507"/>
      <c r="AF495" s="507" t="s">
        <v>1370</v>
      </c>
      <c r="AG495" s="507"/>
      <c r="AH495" s="507"/>
    </row>
    <row r="496" spans="1:34" s="369" customFormat="1" ht="15.75">
      <c r="A496" s="578">
        <v>250344</v>
      </c>
      <c r="B496" s="578" t="s">
        <v>217</v>
      </c>
      <c r="C496" s="548"/>
      <c r="D496" s="530" t="s">
        <v>1456</v>
      </c>
      <c r="E496" s="137"/>
      <c r="F496" s="138"/>
      <c r="G496" s="137"/>
      <c r="H496" s="416"/>
      <c r="I496" s="139">
        <f>I497</f>
        <v>102000</v>
      </c>
      <c r="J496" s="139">
        <f aca="true" t="shared" si="65" ref="J496:Z496">J497</f>
        <v>0</v>
      </c>
      <c r="K496" s="139">
        <f t="shared" si="65"/>
        <v>0</v>
      </c>
      <c r="L496" s="139">
        <f t="shared" si="65"/>
        <v>0</v>
      </c>
      <c r="M496" s="139">
        <f t="shared" si="65"/>
        <v>0</v>
      </c>
      <c r="N496" s="139">
        <f t="shared" si="65"/>
        <v>0</v>
      </c>
      <c r="O496" s="139">
        <f t="shared" si="65"/>
        <v>0</v>
      </c>
      <c r="P496" s="139">
        <f t="shared" si="65"/>
        <v>0</v>
      </c>
      <c r="Q496" s="139">
        <f t="shared" si="65"/>
        <v>0</v>
      </c>
      <c r="R496" s="139">
        <f t="shared" si="65"/>
        <v>0</v>
      </c>
      <c r="S496" s="139">
        <f t="shared" si="65"/>
        <v>0</v>
      </c>
      <c r="T496" s="139">
        <f t="shared" si="65"/>
        <v>0</v>
      </c>
      <c r="U496" s="139">
        <f t="shared" si="65"/>
        <v>0</v>
      </c>
      <c r="V496" s="139">
        <f t="shared" si="65"/>
        <v>0</v>
      </c>
      <c r="W496" s="139">
        <f t="shared" si="65"/>
        <v>0</v>
      </c>
      <c r="X496" s="139">
        <f t="shared" si="65"/>
        <v>102000</v>
      </c>
      <c r="Y496" s="139">
        <f t="shared" si="65"/>
        <v>0</v>
      </c>
      <c r="Z496" s="139">
        <f t="shared" si="65"/>
        <v>0</v>
      </c>
      <c r="AA496" s="439">
        <f t="shared" si="63"/>
        <v>102000</v>
      </c>
      <c r="AC496" s="503"/>
      <c r="AD496" s="514"/>
      <c r="AE496" s="509"/>
      <c r="AF496" s="509"/>
      <c r="AG496" s="509"/>
      <c r="AH496" s="509"/>
    </row>
    <row r="497" spans="1:34" s="369" customFormat="1" ht="84" customHeight="1">
      <c r="A497" s="563"/>
      <c r="B497" s="563"/>
      <c r="C497" s="205"/>
      <c r="D497" s="382" t="s">
        <v>219</v>
      </c>
      <c r="E497" s="142"/>
      <c r="F497" s="143"/>
      <c r="G497" s="142"/>
      <c r="H497" s="417">
        <v>3220</v>
      </c>
      <c r="I497" s="144">
        <v>102000</v>
      </c>
      <c r="J497" s="169"/>
      <c r="K497" s="169"/>
      <c r="L497" s="49"/>
      <c r="M497" s="49"/>
      <c r="N497" s="439"/>
      <c r="O497" s="439"/>
      <c r="P497" s="439"/>
      <c r="Q497" s="439"/>
      <c r="R497" s="407"/>
      <c r="S497" s="407"/>
      <c r="T497" s="407"/>
      <c r="U497" s="407"/>
      <c r="V497" s="407"/>
      <c r="W497" s="407"/>
      <c r="X497" s="407">
        <v>102000</v>
      </c>
      <c r="Y497" s="439"/>
      <c r="Z497" s="407"/>
      <c r="AA497" s="407">
        <f t="shared" si="63"/>
        <v>102000</v>
      </c>
      <c r="AC497" s="503"/>
      <c r="AD497" s="512"/>
      <c r="AE497" s="507"/>
      <c r="AF497" s="507"/>
      <c r="AG497" s="507"/>
      <c r="AH497" s="507"/>
    </row>
    <row r="498" spans="1:34" s="369" customFormat="1" ht="15.75" hidden="1">
      <c r="A498" s="578">
        <v>250404</v>
      </c>
      <c r="B498" s="578" t="s">
        <v>635</v>
      </c>
      <c r="C498" s="205"/>
      <c r="D498" s="530" t="s">
        <v>1456</v>
      </c>
      <c r="E498" s="137"/>
      <c r="F498" s="138"/>
      <c r="G498" s="137"/>
      <c r="H498" s="416"/>
      <c r="I498" s="139">
        <f>I499</f>
        <v>0</v>
      </c>
      <c r="J498" s="139">
        <f aca="true" t="shared" si="66" ref="J498:Z498">J499</f>
        <v>0</v>
      </c>
      <c r="K498" s="139">
        <f t="shared" si="66"/>
        <v>0</v>
      </c>
      <c r="L498" s="139">
        <f t="shared" si="66"/>
        <v>0</v>
      </c>
      <c r="M498" s="139">
        <f t="shared" si="66"/>
        <v>0</v>
      </c>
      <c r="N498" s="139">
        <f t="shared" si="66"/>
        <v>0</v>
      </c>
      <c r="O498" s="139">
        <f t="shared" si="66"/>
        <v>0</v>
      </c>
      <c r="P498" s="139">
        <f t="shared" si="66"/>
        <v>0</v>
      </c>
      <c r="Q498" s="139">
        <f t="shared" si="66"/>
        <v>0</v>
      </c>
      <c r="R498" s="139">
        <f t="shared" si="66"/>
        <v>0</v>
      </c>
      <c r="S498" s="139">
        <f t="shared" si="66"/>
        <v>0</v>
      </c>
      <c r="T498" s="139">
        <f t="shared" si="66"/>
        <v>0</v>
      </c>
      <c r="U498" s="139">
        <f t="shared" si="66"/>
        <v>0</v>
      </c>
      <c r="V498" s="139">
        <f t="shared" si="66"/>
        <v>102000</v>
      </c>
      <c r="W498" s="139">
        <f t="shared" si="66"/>
        <v>0</v>
      </c>
      <c r="X498" s="139">
        <f t="shared" si="66"/>
        <v>-102000</v>
      </c>
      <c r="Y498" s="139">
        <f t="shared" si="66"/>
        <v>0</v>
      </c>
      <c r="Z498" s="139">
        <f t="shared" si="66"/>
        <v>0</v>
      </c>
      <c r="AA498" s="407">
        <f t="shared" si="63"/>
        <v>0</v>
      </c>
      <c r="AC498" s="503"/>
      <c r="AD498" s="512"/>
      <c r="AE498" s="507"/>
      <c r="AF498" s="507"/>
      <c r="AG498" s="507"/>
      <c r="AH498" s="507"/>
    </row>
    <row r="499" spans="1:34" s="369" customFormat="1" ht="15.75" hidden="1">
      <c r="A499" s="563"/>
      <c r="B499" s="563"/>
      <c r="C499" s="205"/>
      <c r="D499" s="528" t="s">
        <v>434</v>
      </c>
      <c r="E499" s="172"/>
      <c r="F499" s="229"/>
      <c r="G499" s="172"/>
      <c r="H499" s="420">
        <v>3110</v>
      </c>
      <c r="I499" s="169">
        <f>102000-102000</f>
        <v>0</v>
      </c>
      <c r="J499" s="169"/>
      <c r="K499" s="169"/>
      <c r="L499" s="529"/>
      <c r="M499" s="529"/>
      <c r="N499" s="439"/>
      <c r="O499" s="439"/>
      <c r="P499" s="439"/>
      <c r="Q499" s="439"/>
      <c r="R499" s="439"/>
      <c r="S499" s="439"/>
      <c r="T499" s="439"/>
      <c r="U499" s="439"/>
      <c r="V499" s="439">
        <f>102000</f>
        <v>102000</v>
      </c>
      <c r="W499" s="439"/>
      <c r="X499" s="439">
        <v>-102000</v>
      </c>
      <c r="Y499" s="439"/>
      <c r="Z499" s="439"/>
      <c r="AA499" s="407">
        <f t="shared" si="63"/>
        <v>0</v>
      </c>
      <c r="AC499" s="503"/>
      <c r="AD499" s="512"/>
      <c r="AE499" s="507"/>
      <c r="AF499" s="507"/>
      <c r="AG499" s="507"/>
      <c r="AH499" s="507"/>
    </row>
    <row r="500" spans="1:34" ht="10.5" customHeight="1">
      <c r="A500" s="222"/>
      <c r="B500" s="141"/>
      <c r="C500" s="135"/>
      <c r="D500" s="217"/>
      <c r="E500" s="142"/>
      <c r="F500" s="143"/>
      <c r="G500" s="172"/>
      <c r="H500" s="420"/>
      <c r="I500" s="144"/>
      <c r="J500" s="144"/>
      <c r="K500" s="462"/>
      <c r="L500" s="144"/>
      <c r="M500" s="144"/>
      <c r="N500" s="407"/>
      <c r="O500" s="407"/>
      <c r="P500" s="407"/>
      <c r="Q500" s="407"/>
      <c r="R500" s="407"/>
      <c r="S500" s="407"/>
      <c r="T500" s="407"/>
      <c r="U500" s="407"/>
      <c r="V500" s="407"/>
      <c r="W500" s="407"/>
      <c r="X500" s="407"/>
      <c r="Y500" s="407"/>
      <c r="Z500" s="407"/>
      <c r="AA500" s="407">
        <f t="shared" si="63"/>
        <v>0</v>
      </c>
      <c r="AC500" s="499"/>
      <c r="AD500" s="512"/>
      <c r="AE500" s="507"/>
      <c r="AF500" s="507"/>
      <c r="AG500" s="507"/>
      <c r="AH500" s="507"/>
    </row>
    <row r="501" spans="1:34" ht="20.25" customHeight="1">
      <c r="A501" s="233" t="s">
        <v>1643</v>
      </c>
      <c r="B501" s="584" t="s">
        <v>1950</v>
      </c>
      <c r="C501" s="584"/>
      <c r="D501" s="584"/>
      <c r="E501" s="193"/>
      <c r="F501" s="194"/>
      <c r="G501" s="193"/>
      <c r="H501" s="425"/>
      <c r="I501" s="132">
        <f>I505+I548+I553+I619+I643</f>
        <v>17883421.6</v>
      </c>
      <c r="J501" s="132">
        <f aca="true" t="shared" si="67" ref="J501:Z501">J502+J505+J553+J619+J633+J643+J548</f>
        <v>0</v>
      </c>
      <c r="K501" s="132">
        <f t="shared" si="67"/>
        <v>0</v>
      </c>
      <c r="L501" s="132">
        <f t="shared" si="67"/>
        <v>17883421.6</v>
      </c>
      <c r="M501" s="132">
        <f t="shared" si="67"/>
        <v>0</v>
      </c>
      <c r="N501" s="132">
        <f t="shared" si="67"/>
        <v>0</v>
      </c>
      <c r="O501" s="132">
        <f t="shared" si="67"/>
        <v>4761858.03</v>
      </c>
      <c r="P501" s="132">
        <f t="shared" si="67"/>
        <v>0</v>
      </c>
      <c r="Q501" s="132">
        <f t="shared" si="67"/>
        <v>0</v>
      </c>
      <c r="R501" s="132">
        <f t="shared" si="67"/>
        <v>824103.6</v>
      </c>
      <c r="S501" s="132">
        <f t="shared" si="67"/>
        <v>2079260</v>
      </c>
      <c r="T501" s="132">
        <f t="shared" si="67"/>
        <v>2037693.57</v>
      </c>
      <c r="U501" s="132">
        <f t="shared" si="67"/>
        <v>2094140</v>
      </c>
      <c r="V501" s="132">
        <f t="shared" si="67"/>
        <v>2100000</v>
      </c>
      <c r="W501" s="132">
        <f t="shared" si="67"/>
        <v>1083000</v>
      </c>
      <c r="X501" s="132">
        <f t="shared" si="67"/>
        <v>2022649.4</v>
      </c>
      <c r="Y501" s="132">
        <f t="shared" si="67"/>
        <v>880717</v>
      </c>
      <c r="Z501" s="132">
        <f t="shared" si="67"/>
        <v>8162307.64</v>
      </c>
      <c r="AA501" s="407">
        <f t="shared" si="63"/>
        <v>8840396.96</v>
      </c>
      <c r="AC501" s="499"/>
      <c r="AD501" s="512"/>
      <c r="AE501" s="507"/>
      <c r="AF501" s="507"/>
      <c r="AG501" s="507"/>
      <c r="AH501" s="507"/>
    </row>
    <row r="502" spans="1:62" s="28" customFormat="1" ht="20.25" customHeight="1" hidden="1">
      <c r="A502" s="552" t="s">
        <v>1756</v>
      </c>
      <c r="B502" s="610" t="s">
        <v>966</v>
      </c>
      <c r="C502" s="195"/>
      <c r="D502" s="136" t="s">
        <v>1456</v>
      </c>
      <c r="E502" s="137"/>
      <c r="F502" s="159"/>
      <c r="G502" s="137"/>
      <c r="H502" s="416"/>
      <c r="I502" s="139" t="e">
        <f>J502+K502+L502+M502+#REF!+#REF!</f>
        <v>#REF!</v>
      </c>
      <c r="J502" s="139">
        <f>J503</f>
        <v>0</v>
      </c>
      <c r="K502" s="139">
        <f>K503</f>
        <v>0</v>
      </c>
      <c r="L502" s="139">
        <f>L503</f>
        <v>0</v>
      </c>
      <c r="M502" s="139">
        <f>M503</f>
        <v>0</v>
      </c>
      <c r="N502" s="468"/>
      <c r="O502" s="468"/>
      <c r="P502" s="439"/>
      <c r="Q502" s="439"/>
      <c r="R502" s="439"/>
      <c r="S502" s="439"/>
      <c r="T502" s="439"/>
      <c r="U502" s="439"/>
      <c r="V502" s="439"/>
      <c r="W502" s="439"/>
      <c r="X502" s="439"/>
      <c r="Y502" s="439"/>
      <c r="Z502" s="439"/>
      <c r="AA502" s="407">
        <f t="shared" si="63"/>
        <v>0</v>
      </c>
      <c r="AB502" s="30"/>
      <c r="AC502" s="59"/>
      <c r="AD502" s="514"/>
      <c r="AE502" s="509"/>
      <c r="AF502" s="509"/>
      <c r="AG502" s="509"/>
      <c r="AH502" s="509"/>
      <c r="AI502" s="30"/>
      <c r="AJ502" s="30"/>
      <c r="AK502" s="30"/>
      <c r="AL502" s="30"/>
      <c r="AM502" s="30"/>
      <c r="AN502" s="30"/>
      <c r="AO502" s="30"/>
      <c r="AP502" s="30"/>
      <c r="AQ502" s="30"/>
      <c r="AR502" s="30"/>
      <c r="AS502" s="30"/>
      <c r="AT502" s="30"/>
      <c r="AU502" s="30"/>
      <c r="AV502" s="30"/>
      <c r="AW502" s="30"/>
      <c r="AX502" s="30"/>
      <c r="AY502" s="30"/>
      <c r="AZ502" s="30"/>
      <c r="BA502" s="30"/>
      <c r="BB502" s="30"/>
      <c r="BC502" s="30"/>
      <c r="BD502" s="30"/>
      <c r="BE502" s="30"/>
      <c r="BF502" s="30"/>
      <c r="BG502" s="30"/>
      <c r="BH502" s="30"/>
      <c r="BI502" s="30"/>
      <c r="BJ502" s="30"/>
    </row>
    <row r="503" spans="1:34" s="45" customFormat="1" ht="31.5" hidden="1">
      <c r="A503" s="609"/>
      <c r="B503" s="611"/>
      <c r="C503" s="135" t="s">
        <v>1197</v>
      </c>
      <c r="D503" s="141" t="s">
        <v>1198</v>
      </c>
      <c r="E503" s="142"/>
      <c r="F503" s="143"/>
      <c r="G503" s="172"/>
      <c r="H503" s="420"/>
      <c r="I503" s="144" t="e">
        <f>J503+K503+L503+M503+#REF!+#REF!</f>
        <v>#REF!</v>
      </c>
      <c r="J503" s="169"/>
      <c r="K503" s="169"/>
      <c r="L503" s="144"/>
      <c r="M503" s="144"/>
      <c r="N503" s="407"/>
      <c r="O503" s="407"/>
      <c r="P503" s="407"/>
      <c r="Q503" s="407"/>
      <c r="R503" s="407"/>
      <c r="S503" s="407"/>
      <c r="T503" s="407"/>
      <c r="U503" s="407"/>
      <c r="V503" s="407"/>
      <c r="W503" s="407"/>
      <c r="X503" s="407"/>
      <c r="Y503" s="407"/>
      <c r="Z503" s="407"/>
      <c r="AA503" s="407">
        <f t="shared" si="63"/>
        <v>0</v>
      </c>
      <c r="AC503" s="499"/>
      <c r="AD503" s="513"/>
      <c r="AE503" s="508"/>
      <c r="AF503" s="508"/>
      <c r="AG503" s="508"/>
      <c r="AH503" s="508"/>
    </row>
    <row r="504" spans="1:34" s="30" customFormat="1" ht="18.75" customHeight="1">
      <c r="A504" s="234" t="s">
        <v>1451</v>
      </c>
      <c r="B504" s="235" t="s">
        <v>1951</v>
      </c>
      <c r="C504" s="236"/>
      <c r="D504" s="237"/>
      <c r="E504" s="172"/>
      <c r="F504" s="143"/>
      <c r="G504" s="172"/>
      <c r="H504" s="420"/>
      <c r="I504" s="169">
        <f>I505+I548+I553+I619</f>
        <v>17389739.2</v>
      </c>
      <c r="J504" s="169">
        <f aca="true" t="shared" si="68" ref="J504:Z504">J505+J553+J619+J633+J548</f>
        <v>0</v>
      </c>
      <c r="K504" s="169">
        <f t="shared" si="68"/>
        <v>0</v>
      </c>
      <c r="L504" s="169">
        <f t="shared" si="68"/>
        <v>17389739.2</v>
      </c>
      <c r="M504" s="169">
        <f t="shared" si="68"/>
        <v>0</v>
      </c>
      <c r="N504" s="169">
        <f t="shared" si="68"/>
        <v>0</v>
      </c>
      <c r="O504" s="169">
        <f t="shared" si="68"/>
        <v>4754625.63</v>
      </c>
      <c r="P504" s="169">
        <f t="shared" si="68"/>
        <v>0</v>
      </c>
      <c r="Q504" s="169">
        <f t="shared" si="68"/>
        <v>0</v>
      </c>
      <c r="R504" s="169">
        <f t="shared" si="68"/>
        <v>824103.6</v>
      </c>
      <c r="S504" s="169">
        <f t="shared" si="68"/>
        <v>1898748</v>
      </c>
      <c r="T504" s="169">
        <f t="shared" si="68"/>
        <v>1967593.57</v>
      </c>
      <c r="U504" s="169">
        <f t="shared" si="68"/>
        <v>2094140</v>
      </c>
      <c r="V504" s="169">
        <f t="shared" si="68"/>
        <v>2100000</v>
      </c>
      <c r="W504" s="169">
        <f t="shared" si="68"/>
        <v>951800</v>
      </c>
      <c r="X504" s="169">
        <f t="shared" si="68"/>
        <v>2007909.4</v>
      </c>
      <c r="Y504" s="169">
        <f t="shared" si="68"/>
        <v>790819</v>
      </c>
      <c r="Z504" s="169">
        <f t="shared" si="68"/>
        <v>7773290.04</v>
      </c>
      <c r="AA504" s="407">
        <f t="shared" si="63"/>
        <v>8825630.16</v>
      </c>
      <c r="AC504" s="59"/>
      <c r="AD504" s="514"/>
      <c r="AE504" s="509"/>
      <c r="AF504" s="509"/>
      <c r="AG504" s="509"/>
      <c r="AH504" s="509"/>
    </row>
    <row r="505" spans="1:62" s="54" customFormat="1" ht="20.25" customHeight="1">
      <c r="A505" s="587" t="s">
        <v>1257</v>
      </c>
      <c r="B505" s="605" t="s">
        <v>1952</v>
      </c>
      <c r="C505" s="195"/>
      <c r="D505" s="216" t="s">
        <v>1456</v>
      </c>
      <c r="E505" s="137"/>
      <c r="F505" s="159"/>
      <c r="G505" s="137"/>
      <c r="H505" s="416"/>
      <c r="I505" s="139">
        <f>I508+I515+I519+I520+I521+I522+I530+I537+I539+I540+I541+I542+I543+I544+I547+I509+I513+I514+I538+I546+I545</f>
        <v>6113735.28</v>
      </c>
      <c r="J505" s="139">
        <f aca="true" t="shared" si="69" ref="J505:Z505">J508+J515+J519+J520+J521+J522+J530+J537+J539+J540+J541+J542+J543+J544+J547+J509+J513+J514+J538+J546+J545</f>
        <v>0</v>
      </c>
      <c r="K505" s="139">
        <f t="shared" si="69"/>
        <v>0</v>
      </c>
      <c r="L505" s="139">
        <f t="shared" si="69"/>
        <v>5899177.04</v>
      </c>
      <c r="M505" s="139">
        <f t="shared" si="69"/>
        <v>0</v>
      </c>
      <c r="N505" s="139">
        <f t="shared" si="69"/>
        <v>0</v>
      </c>
      <c r="O505" s="139">
        <f t="shared" si="69"/>
        <v>352532.24</v>
      </c>
      <c r="P505" s="139">
        <f t="shared" si="69"/>
        <v>0</v>
      </c>
      <c r="Q505" s="139">
        <f t="shared" si="69"/>
        <v>0</v>
      </c>
      <c r="R505" s="139">
        <f t="shared" si="69"/>
        <v>373833.6</v>
      </c>
      <c r="S505" s="139">
        <f t="shared" si="69"/>
        <v>380210</v>
      </c>
      <c r="T505" s="139">
        <f t="shared" si="69"/>
        <v>794123</v>
      </c>
      <c r="U505" s="139">
        <f t="shared" si="69"/>
        <v>1096362</v>
      </c>
      <c r="V505" s="139">
        <f t="shared" si="69"/>
        <v>1650000</v>
      </c>
      <c r="W505" s="139">
        <f t="shared" si="69"/>
        <v>-16500</v>
      </c>
      <c r="X505" s="139">
        <f t="shared" si="69"/>
        <v>980087.44</v>
      </c>
      <c r="Y505" s="139">
        <f t="shared" si="69"/>
        <v>503087</v>
      </c>
      <c r="Z505" s="139">
        <f t="shared" si="69"/>
        <v>1355211.88</v>
      </c>
      <c r="AA505" s="407">
        <f t="shared" si="63"/>
        <v>4255436.4</v>
      </c>
      <c r="AB505" s="45"/>
      <c r="AC505" s="499"/>
      <c r="AD505" s="513"/>
      <c r="AE505" s="508"/>
      <c r="AF505" s="508"/>
      <c r="AG505" s="508"/>
      <c r="AH505" s="508"/>
      <c r="AI505" s="45"/>
      <c r="AJ505" s="45"/>
      <c r="AK505" s="45"/>
      <c r="AL505" s="45"/>
      <c r="AM505" s="45"/>
      <c r="AN505" s="45"/>
      <c r="AO505" s="45"/>
      <c r="AP505" s="45"/>
      <c r="AQ505" s="45"/>
      <c r="AR505" s="45"/>
      <c r="AS505" s="45"/>
      <c r="AT505" s="45"/>
      <c r="AU505" s="45"/>
      <c r="AV505" s="45"/>
      <c r="AW505" s="45"/>
      <c r="AX505" s="45"/>
      <c r="AY505" s="45"/>
      <c r="AZ505" s="45"/>
      <c r="BA505" s="45"/>
      <c r="BB505" s="45"/>
      <c r="BC505" s="45"/>
      <c r="BD505" s="45"/>
      <c r="BE505" s="45"/>
      <c r="BF505" s="45"/>
      <c r="BG505" s="45"/>
      <c r="BH505" s="45"/>
      <c r="BI505" s="45"/>
      <c r="BJ505" s="45"/>
    </row>
    <row r="506" spans="1:34" ht="47.25" customHeight="1" hidden="1">
      <c r="A506" s="588"/>
      <c r="B506" s="607"/>
      <c r="C506" s="238" t="s">
        <v>1953</v>
      </c>
      <c r="D506" s="208" t="s">
        <v>868</v>
      </c>
      <c r="E506" s="142"/>
      <c r="F506" s="143"/>
      <c r="G506" s="142"/>
      <c r="H506" s="417"/>
      <c r="I506" s="144" t="e">
        <f>J506+K506+L506+M506+#REF!+#REF!</f>
        <v>#REF!</v>
      </c>
      <c r="J506" s="144"/>
      <c r="K506" s="144"/>
      <c r="L506" s="144"/>
      <c r="M506" s="144"/>
      <c r="N506" s="407"/>
      <c r="O506" s="407"/>
      <c r="P506" s="407"/>
      <c r="Q506" s="407"/>
      <c r="R506" s="407"/>
      <c r="S506" s="407"/>
      <c r="T506" s="407"/>
      <c r="U506" s="407"/>
      <c r="V506" s="407"/>
      <c r="W506" s="407"/>
      <c r="X506" s="407"/>
      <c r="Y506" s="407"/>
      <c r="Z506" s="407"/>
      <c r="AA506" s="407">
        <f t="shared" si="63"/>
        <v>0</v>
      </c>
      <c r="AC506" s="499"/>
      <c r="AD506" s="513"/>
      <c r="AE506" s="508"/>
      <c r="AF506" s="508"/>
      <c r="AG506" s="508"/>
      <c r="AH506" s="508"/>
    </row>
    <row r="507" spans="1:34" ht="47.25" customHeight="1" hidden="1">
      <c r="A507" s="588"/>
      <c r="B507" s="607"/>
      <c r="C507" s="135" t="s">
        <v>869</v>
      </c>
      <c r="D507" s="217" t="s">
        <v>870</v>
      </c>
      <c r="E507" s="142"/>
      <c r="F507" s="143"/>
      <c r="G507" s="142"/>
      <c r="H507" s="417"/>
      <c r="I507" s="144" t="e">
        <f>J507+K507+L507+M507+#REF!+#REF!</f>
        <v>#REF!</v>
      </c>
      <c r="J507" s="144"/>
      <c r="K507" s="144"/>
      <c r="L507" s="144"/>
      <c r="M507" s="144"/>
      <c r="N507" s="407"/>
      <c r="O507" s="407"/>
      <c r="P507" s="407"/>
      <c r="Q507" s="407"/>
      <c r="R507" s="407"/>
      <c r="S507" s="407"/>
      <c r="T507" s="407"/>
      <c r="U507" s="407"/>
      <c r="V507" s="407"/>
      <c r="W507" s="407"/>
      <c r="X507" s="407"/>
      <c r="Y507" s="407"/>
      <c r="Z507" s="407"/>
      <c r="AA507" s="407">
        <f t="shared" si="63"/>
        <v>0</v>
      </c>
      <c r="AC507" s="499"/>
      <c r="AD507" s="513"/>
      <c r="AE507" s="508"/>
      <c r="AF507" s="508"/>
      <c r="AG507" s="508"/>
      <c r="AH507" s="508"/>
    </row>
    <row r="508" spans="1:34" ht="47.25">
      <c r="A508" s="588"/>
      <c r="B508" s="607"/>
      <c r="C508" s="167" t="s">
        <v>871</v>
      </c>
      <c r="D508" s="217" t="s">
        <v>872</v>
      </c>
      <c r="E508" s="142">
        <v>233.79</v>
      </c>
      <c r="F508" s="143">
        <f>100%-((E508-G508)/E508)</f>
        <v>0.964</v>
      </c>
      <c r="G508" s="142">
        <v>225.46</v>
      </c>
      <c r="H508" s="417">
        <v>3132</v>
      </c>
      <c r="I508" s="144">
        <v>3516.4</v>
      </c>
      <c r="J508" s="144"/>
      <c r="K508" s="144"/>
      <c r="L508" s="144">
        <v>3516.4</v>
      </c>
      <c r="M508" s="144"/>
      <c r="N508" s="407"/>
      <c r="O508" s="144">
        <v>3516.4</v>
      </c>
      <c r="P508" s="407"/>
      <c r="Q508" s="407"/>
      <c r="R508" s="407"/>
      <c r="S508" s="407"/>
      <c r="T508" s="407"/>
      <c r="U508" s="407"/>
      <c r="V508" s="407"/>
      <c r="W508" s="407"/>
      <c r="X508" s="407"/>
      <c r="Y508" s="407"/>
      <c r="Z508" s="144">
        <v>3516.4</v>
      </c>
      <c r="AA508" s="407">
        <f t="shared" si="63"/>
        <v>0</v>
      </c>
      <c r="AC508" s="499"/>
      <c r="AD508" s="513">
        <v>3516.4</v>
      </c>
      <c r="AE508" s="508">
        <v>3536.1</v>
      </c>
      <c r="AF508" s="507" t="s">
        <v>1977</v>
      </c>
      <c r="AG508" s="508"/>
      <c r="AH508" s="508"/>
    </row>
    <row r="509" spans="1:34" ht="15.75">
      <c r="A509" s="588"/>
      <c r="B509" s="607"/>
      <c r="C509" s="167"/>
      <c r="D509" s="217" t="s">
        <v>1235</v>
      </c>
      <c r="E509" s="142"/>
      <c r="F509" s="143"/>
      <c r="G509" s="142"/>
      <c r="H509" s="417"/>
      <c r="I509" s="144">
        <f>SUM(I510:I512)</f>
        <v>70000</v>
      </c>
      <c r="J509" s="144">
        <f aca="true" t="shared" si="70" ref="J509:Z509">SUM(J510:J512)</f>
        <v>0</v>
      </c>
      <c r="K509" s="144">
        <f t="shared" si="70"/>
        <v>0</v>
      </c>
      <c r="L509" s="144">
        <f t="shared" si="70"/>
        <v>0</v>
      </c>
      <c r="M509" s="144">
        <f t="shared" si="70"/>
        <v>0</v>
      </c>
      <c r="N509" s="144">
        <f t="shared" si="70"/>
        <v>0</v>
      </c>
      <c r="O509" s="144">
        <f t="shared" si="70"/>
        <v>0</v>
      </c>
      <c r="P509" s="144">
        <f t="shared" si="70"/>
        <v>0</v>
      </c>
      <c r="Q509" s="144">
        <f t="shared" si="70"/>
        <v>0</v>
      </c>
      <c r="R509" s="144">
        <f t="shared" si="70"/>
        <v>0</v>
      </c>
      <c r="S509" s="144">
        <f t="shared" si="70"/>
        <v>0</v>
      </c>
      <c r="T509" s="144">
        <f t="shared" si="70"/>
        <v>0</v>
      </c>
      <c r="U509" s="144">
        <f t="shared" si="70"/>
        <v>0</v>
      </c>
      <c r="V509" s="144">
        <f t="shared" si="70"/>
        <v>0</v>
      </c>
      <c r="W509" s="144">
        <f t="shared" si="70"/>
        <v>0</v>
      </c>
      <c r="X509" s="144">
        <f t="shared" si="70"/>
        <v>70000</v>
      </c>
      <c r="Y509" s="144">
        <f t="shared" si="70"/>
        <v>0</v>
      </c>
      <c r="Z509" s="144">
        <f t="shared" si="70"/>
        <v>0</v>
      </c>
      <c r="AA509" s="407">
        <f t="shared" si="63"/>
        <v>70000</v>
      </c>
      <c r="AC509" s="499"/>
      <c r="AD509" s="513"/>
      <c r="AE509" s="508"/>
      <c r="AF509" s="508"/>
      <c r="AG509" s="508"/>
      <c r="AH509" s="508"/>
    </row>
    <row r="510" spans="1:34" ht="15.75">
      <c r="A510" s="588"/>
      <c r="B510" s="607"/>
      <c r="C510" s="167"/>
      <c r="D510" s="251" t="s">
        <v>685</v>
      </c>
      <c r="E510" s="142"/>
      <c r="F510" s="143"/>
      <c r="G510" s="142"/>
      <c r="H510" s="417">
        <v>3110</v>
      </c>
      <c r="I510" s="144">
        <v>31500</v>
      </c>
      <c r="J510" s="144"/>
      <c r="K510" s="144"/>
      <c r="L510" s="144"/>
      <c r="M510" s="144"/>
      <c r="N510" s="407"/>
      <c r="O510" s="144"/>
      <c r="P510" s="407"/>
      <c r="Q510" s="407"/>
      <c r="R510" s="407"/>
      <c r="S510" s="407"/>
      <c r="T510" s="407"/>
      <c r="U510" s="407"/>
      <c r="V510" s="407"/>
      <c r="W510" s="407"/>
      <c r="X510" s="407">
        <v>31500</v>
      </c>
      <c r="Y510" s="407"/>
      <c r="Z510" s="144"/>
      <c r="AA510" s="407">
        <f t="shared" si="63"/>
        <v>31500</v>
      </c>
      <c r="AC510" s="499"/>
      <c r="AD510" s="513">
        <v>31500</v>
      </c>
      <c r="AE510" s="508"/>
      <c r="AF510" s="508"/>
      <c r="AG510" s="508"/>
      <c r="AH510" s="641" t="s">
        <v>1978</v>
      </c>
    </row>
    <row r="511" spans="1:34" ht="15.75">
      <c r="A511" s="588"/>
      <c r="B511" s="607"/>
      <c r="C511" s="167"/>
      <c r="D511" s="251" t="s">
        <v>683</v>
      </c>
      <c r="E511" s="142"/>
      <c r="F511" s="143"/>
      <c r="G511" s="142"/>
      <c r="H511" s="417">
        <v>3110</v>
      </c>
      <c r="I511" s="144">
        <v>31500</v>
      </c>
      <c r="J511" s="144"/>
      <c r="K511" s="144"/>
      <c r="L511" s="144"/>
      <c r="M511" s="144"/>
      <c r="N511" s="407"/>
      <c r="O511" s="144"/>
      <c r="P511" s="407"/>
      <c r="Q511" s="407"/>
      <c r="R511" s="407"/>
      <c r="S511" s="407"/>
      <c r="T511" s="407"/>
      <c r="U511" s="407"/>
      <c r="V511" s="407"/>
      <c r="W511" s="407"/>
      <c r="X511" s="407">
        <v>31500</v>
      </c>
      <c r="Y511" s="407"/>
      <c r="Z511" s="144"/>
      <c r="AA511" s="407">
        <f t="shared" si="63"/>
        <v>31500</v>
      </c>
      <c r="AC511" s="499"/>
      <c r="AD511" s="513">
        <v>31500</v>
      </c>
      <c r="AE511" s="508"/>
      <c r="AF511" s="508"/>
      <c r="AG511" s="508"/>
      <c r="AH511" s="684"/>
    </row>
    <row r="512" spans="1:34" ht="15.75">
      <c r="A512" s="588"/>
      <c r="B512" s="607"/>
      <c r="C512" s="167"/>
      <c r="D512" s="251" t="s">
        <v>684</v>
      </c>
      <c r="E512" s="142"/>
      <c r="F512" s="143"/>
      <c r="G512" s="142"/>
      <c r="H512" s="417">
        <v>3110</v>
      </c>
      <c r="I512" s="144">
        <v>7000</v>
      </c>
      <c r="J512" s="144"/>
      <c r="K512" s="144"/>
      <c r="L512" s="144"/>
      <c r="M512" s="144"/>
      <c r="N512" s="407"/>
      <c r="O512" s="144"/>
      <c r="P512" s="407"/>
      <c r="Q512" s="407"/>
      <c r="R512" s="407"/>
      <c r="S512" s="407"/>
      <c r="T512" s="407"/>
      <c r="U512" s="407"/>
      <c r="V512" s="407"/>
      <c r="W512" s="407"/>
      <c r="X512" s="407">
        <v>7000</v>
      </c>
      <c r="Y512" s="407"/>
      <c r="Z512" s="144"/>
      <c r="AA512" s="407">
        <f t="shared" si="63"/>
        <v>7000</v>
      </c>
      <c r="AC512" s="499"/>
      <c r="AD512" s="513">
        <v>7000</v>
      </c>
      <c r="AE512" s="508"/>
      <c r="AF512" s="508"/>
      <c r="AG512" s="508"/>
      <c r="AH512" s="685"/>
    </row>
    <row r="513" spans="1:34" ht="31.5" hidden="1">
      <c r="A513" s="588"/>
      <c r="B513" s="607"/>
      <c r="C513" s="167"/>
      <c r="D513" s="217" t="s">
        <v>1236</v>
      </c>
      <c r="E513" s="142"/>
      <c r="F513" s="143"/>
      <c r="G513" s="142"/>
      <c r="H513" s="417">
        <v>3110</v>
      </c>
      <c r="I513" s="144">
        <f>92800-92800</f>
        <v>0</v>
      </c>
      <c r="J513" s="144"/>
      <c r="K513" s="144"/>
      <c r="L513" s="144"/>
      <c r="M513" s="144"/>
      <c r="N513" s="407"/>
      <c r="O513" s="144"/>
      <c r="P513" s="407"/>
      <c r="Q513" s="407"/>
      <c r="R513" s="407"/>
      <c r="S513" s="407"/>
      <c r="T513" s="407"/>
      <c r="U513" s="407"/>
      <c r="V513" s="407"/>
      <c r="W513" s="407"/>
      <c r="X513" s="407">
        <f>92800-92800</f>
        <v>0</v>
      </c>
      <c r="Y513" s="407"/>
      <c r="Z513" s="144"/>
      <c r="AA513" s="407">
        <f t="shared" si="63"/>
        <v>0</v>
      </c>
      <c r="AC513" s="499"/>
      <c r="AD513" s="513">
        <v>92800</v>
      </c>
      <c r="AE513" s="508"/>
      <c r="AF513" s="508"/>
      <c r="AG513" s="508"/>
      <c r="AH513" s="507" t="s">
        <v>1978</v>
      </c>
    </row>
    <row r="514" spans="1:34" ht="40.5" customHeight="1">
      <c r="A514" s="588"/>
      <c r="B514" s="607"/>
      <c r="C514" s="167"/>
      <c r="D514" s="217" t="s">
        <v>1237</v>
      </c>
      <c r="E514" s="142"/>
      <c r="F514" s="143"/>
      <c r="G514" s="142"/>
      <c r="H514" s="417">
        <v>3132</v>
      </c>
      <c r="I514" s="144">
        <v>185562</v>
      </c>
      <c r="J514" s="144"/>
      <c r="K514" s="144"/>
      <c r="L514" s="144"/>
      <c r="M514" s="144"/>
      <c r="N514" s="407"/>
      <c r="O514" s="144"/>
      <c r="P514" s="407"/>
      <c r="Q514" s="407"/>
      <c r="R514" s="407"/>
      <c r="S514" s="407"/>
      <c r="T514" s="407"/>
      <c r="U514" s="407">
        <v>185562</v>
      </c>
      <c r="V514" s="407"/>
      <c r="W514" s="407"/>
      <c r="X514" s="407"/>
      <c r="Y514" s="407"/>
      <c r="Z514" s="144">
        <f>8758.8+20437.2+45139.8</f>
        <v>74335.8</v>
      </c>
      <c r="AA514" s="407">
        <f t="shared" si="63"/>
        <v>111226.2</v>
      </c>
      <c r="AC514" s="499"/>
      <c r="AD514" s="513">
        <v>185562</v>
      </c>
      <c r="AE514" s="508">
        <v>932964</v>
      </c>
      <c r="AF514" s="507" t="s">
        <v>2083</v>
      </c>
      <c r="AG514" s="507" t="s">
        <v>1127</v>
      </c>
      <c r="AH514" s="507" t="s">
        <v>1128</v>
      </c>
    </row>
    <row r="515" spans="1:34" ht="31.5">
      <c r="A515" s="588"/>
      <c r="B515" s="607"/>
      <c r="C515" s="167" t="s">
        <v>873</v>
      </c>
      <c r="D515" s="217" t="s">
        <v>1986</v>
      </c>
      <c r="E515" s="142"/>
      <c r="F515" s="143"/>
      <c r="G515" s="142"/>
      <c r="H515" s="417">
        <v>3132</v>
      </c>
      <c r="I515" s="144">
        <v>4260.64</v>
      </c>
      <c r="J515" s="144"/>
      <c r="K515" s="144"/>
      <c r="L515" s="144">
        <v>4260.64</v>
      </c>
      <c r="M515" s="144"/>
      <c r="N515" s="407"/>
      <c r="O515" s="144">
        <v>4260.64</v>
      </c>
      <c r="P515" s="407"/>
      <c r="Q515" s="407"/>
      <c r="R515" s="407"/>
      <c r="S515" s="407"/>
      <c r="T515" s="407"/>
      <c r="U515" s="407"/>
      <c r="V515" s="407"/>
      <c r="W515" s="407"/>
      <c r="X515" s="407"/>
      <c r="Y515" s="407"/>
      <c r="Z515" s="144">
        <v>4260.64</v>
      </c>
      <c r="AA515" s="407">
        <f t="shared" si="63"/>
        <v>0</v>
      </c>
      <c r="AC515" s="499"/>
      <c r="AD515" s="513">
        <v>4260.64</v>
      </c>
      <c r="AE515" s="508">
        <v>4260.64</v>
      </c>
      <c r="AF515" s="507" t="s">
        <v>1979</v>
      </c>
      <c r="AG515" s="508"/>
      <c r="AH515" s="508"/>
    </row>
    <row r="516" spans="1:34" ht="15.75" customHeight="1" hidden="1">
      <c r="A516" s="588"/>
      <c r="B516" s="607"/>
      <c r="C516" s="167"/>
      <c r="D516" s="240" t="s">
        <v>683</v>
      </c>
      <c r="E516" s="142">
        <v>124.385</v>
      </c>
      <c r="F516" s="143">
        <f>100%-((E516-G516)/E516)</f>
        <v>1</v>
      </c>
      <c r="G516" s="142">
        <v>124.385</v>
      </c>
      <c r="H516" s="417">
        <v>3132</v>
      </c>
      <c r="I516" s="144">
        <v>0</v>
      </c>
      <c r="J516" s="144"/>
      <c r="K516" s="144"/>
      <c r="L516" s="144"/>
      <c r="M516" s="144"/>
      <c r="N516" s="407"/>
      <c r="O516" s="144">
        <v>0</v>
      </c>
      <c r="P516" s="407"/>
      <c r="Q516" s="407"/>
      <c r="R516" s="407"/>
      <c r="S516" s="407"/>
      <c r="T516" s="407"/>
      <c r="U516" s="407"/>
      <c r="V516" s="407"/>
      <c r="W516" s="407"/>
      <c r="X516" s="407"/>
      <c r="Y516" s="407"/>
      <c r="Z516" s="144">
        <v>0</v>
      </c>
      <c r="AA516" s="407">
        <f t="shared" si="63"/>
        <v>0</v>
      </c>
      <c r="AC516" s="499"/>
      <c r="AD516" s="513"/>
      <c r="AE516" s="508"/>
      <c r="AF516" s="508"/>
      <c r="AG516" s="508"/>
      <c r="AH516" s="508"/>
    </row>
    <row r="517" spans="1:34" ht="15.75" customHeight="1" hidden="1">
      <c r="A517" s="588"/>
      <c r="B517" s="607"/>
      <c r="C517" s="167"/>
      <c r="D517" s="240" t="s">
        <v>684</v>
      </c>
      <c r="E517" s="142">
        <v>23.04</v>
      </c>
      <c r="F517" s="143">
        <f>100%-((E517-G517)/E517)</f>
        <v>1</v>
      </c>
      <c r="G517" s="142">
        <v>23.04</v>
      </c>
      <c r="H517" s="417">
        <v>3132</v>
      </c>
      <c r="I517" s="144">
        <v>0</v>
      </c>
      <c r="J517" s="144"/>
      <c r="K517" s="144"/>
      <c r="L517" s="144"/>
      <c r="M517" s="144"/>
      <c r="N517" s="407"/>
      <c r="O517" s="144">
        <v>0</v>
      </c>
      <c r="P517" s="407"/>
      <c r="Q517" s="407"/>
      <c r="R517" s="407"/>
      <c r="S517" s="407"/>
      <c r="T517" s="407"/>
      <c r="U517" s="407"/>
      <c r="V517" s="407"/>
      <c r="W517" s="407"/>
      <c r="X517" s="407"/>
      <c r="Y517" s="407"/>
      <c r="Z517" s="144">
        <v>0</v>
      </c>
      <c r="AA517" s="407">
        <f t="shared" si="63"/>
        <v>0</v>
      </c>
      <c r="AC517" s="499"/>
      <c r="AD517" s="513"/>
      <c r="AE517" s="508"/>
      <c r="AF517" s="508"/>
      <c r="AG517" s="508"/>
      <c r="AH517" s="508"/>
    </row>
    <row r="518" spans="1:34" ht="15.75" customHeight="1" hidden="1">
      <c r="A518" s="588"/>
      <c r="B518" s="607"/>
      <c r="C518" s="167"/>
      <c r="D518" s="240" t="s">
        <v>685</v>
      </c>
      <c r="E518" s="142">
        <v>14.93</v>
      </c>
      <c r="F518" s="143">
        <f>100%-((E518-G518)/E518)</f>
        <v>1</v>
      </c>
      <c r="G518" s="142">
        <v>14.93</v>
      </c>
      <c r="H518" s="417">
        <v>3132</v>
      </c>
      <c r="I518" s="144">
        <v>0</v>
      </c>
      <c r="J518" s="144"/>
      <c r="K518" s="144"/>
      <c r="L518" s="144"/>
      <c r="M518" s="144"/>
      <c r="N518" s="407"/>
      <c r="O518" s="144">
        <v>0</v>
      </c>
      <c r="P518" s="407"/>
      <c r="Q518" s="407"/>
      <c r="R518" s="407"/>
      <c r="S518" s="407"/>
      <c r="T518" s="407"/>
      <c r="U518" s="407"/>
      <c r="V518" s="407"/>
      <c r="W518" s="407"/>
      <c r="X518" s="407"/>
      <c r="Y518" s="407"/>
      <c r="Z518" s="144">
        <v>0</v>
      </c>
      <c r="AA518" s="407">
        <f t="shared" si="63"/>
        <v>0</v>
      </c>
      <c r="AC518" s="499"/>
      <c r="AD518" s="513"/>
      <c r="AE518" s="508"/>
      <c r="AF518" s="508"/>
      <c r="AG518" s="508"/>
      <c r="AH518" s="508"/>
    </row>
    <row r="519" spans="1:34" ht="47.25">
      <c r="A519" s="588"/>
      <c r="B519" s="607"/>
      <c r="C519" s="167" t="s">
        <v>686</v>
      </c>
      <c r="D519" s="217" t="s">
        <v>687</v>
      </c>
      <c r="E519" s="142">
        <v>893</v>
      </c>
      <c r="F519" s="143">
        <f>100%-((E519-G519)/E519)</f>
        <v>1</v>
      </c>
      <c r="G519" s="142">
        <v>893</v>
      </c>
      <c r="H519" s="417">
        <v>3132</v>
      </c>
      <c r="I519" s="144">
        <v>175328.6</v>
      </c>
      <c r="J519" s="144"/>
      <c r="K519" s="144"/>
      <c r="L519" s="144">
        <v>175328.6</v>
      </c>
      <c r="M519" s="144"/>
      <c r="N519" s="407"/>
      <c r="O519" s="144">
        <v>175328.6</v>
      </c>
      <c r="P519" s="407"/>
      <c r="Q519" s="407"/>
      <c r="R519" s="407"/>
      <c r="S519" s="407"/>
      <c r="T519" s="407"/>
      <c r="U519" s="407"/>
      <c r="V519" s="407"/>
      <c r="W519" s="407"/>
      <c r="X519" s="407"/>
      <c r="Y519" s="407"/>
      <c r="Z519" s="144">
        <v>175328.6</v>
      </c>
      <c r="AA519" s="407">
        <f t="shared" si="63"/>
        <v>0</v>
      </c>
      <c r="AC519" s="499"/>
      <c r="AD519" s="513">
        <v>175328.6</v>
      </c>
      <c r="AE519" s="508">
        <v>175328.6</v>
      </c>
      <c r="AF519" s="507" t="s">
        <v>1980</v>
      </c>
      <c r="AG519" s="508"/>
      <c r="AH519" s="508"/>
    </row>
    <row r="520" spans="1:34" ht="76.5">
      <c r="A520" s="588"/>
      <c r="B520" s="607"/>
      <c r="C520" s="167" t="s">
        <v>688</v>
      </c>
      <c r="D520" s="217" t="s">
        <v>689</v>
      </c>
      <c r="E520" s="142">
        <v>118.538</v>
      </c>
      <c r="F520" s="143">
        <f>100%-((E520-G520)/E520)</f>
        <v>1</v>
      </c>
      <c r="G520" s="142">
        <v>118.538</v>
      </c>
      <c r="H520" s="417">
        <v>3132</v>
      </c>
      <c r="I520" s="144">
        <v>169426.6</v>
      </c>
      <c r="J520" s="144"/>
      <c r="K520" s="144"/>
      <c r="L520" s="144">
        <v>169426.6</v>
      </c>
      <c r="M520" s="144"/>
      <c r="N520" s="407"/>
      <c r="O520" s="144">
        <v>169426.6</v>
      </c>
      <c r="P520" s="407"/>
      <c r="Q520" s="407"/>
      <c r="R520" s="407"/>
      <c r="S520" s="407"/>
      <c r="T520" s="407"/>
      <c r="U520" s="407"/>
      <c r="V520" s="407"/>
      <c r="W520" s="407"/>
      <c r="X520" s="407"/>
      <c r="Y520" s="407"/>
      <c r="Z520" s="144">
        <v>169426.6</v>
      </c>
      <c r="AA520" s="407">
        <f t="shared" si="63"/>
        <v>0</v>
      </c>
      <c r="AC520" s="499"/>
      <c r="AD520" s="513">
        <v>169426.6</v>
      </c>
      <c r="AE520" s="508">
        <v>169406.9</v>
      </c>
      <c r="AF520" s="507" t="s">
        <v>1125</v>
      </c>
      <c r="AG520" s="508"/>
      <c r="AH520" s="508"/>
    </row>
    <row r="521" spans="1:34" ht="40.5" customHeight="1">
      <c r="A521" s="588"/>
      <c r="B521" s="607"/>
      <c r="C521" s="167"/>
      <c r="D521" s="78" t="s">
        <v>1840</v>
      </c>
      <c r="E521" s="142"/>
      <c r="F521" s="143"/>
      <c r="G521" s="142"/>
      <c r="H521" s="417">
        <v>3110</v>
      </c>
      <c r="I521" s="144">
        <v>120000</v>
      </c>
      <c r="J521" s="144"/>
      <c r="K521" s="144"/>
      <c r="L521" s="372">
        <v>120000</v>
      </c>
      <c r="M521" s="144"/>
      <c r="N521" s="407"/>
      <c r="O521" s="407"/>
      <c r="P521" s="407"/>
      <c r="Q521" s="407"/>
      <c r="R521" s="407"/>
      <c r="S521" s="407"/>
      <c r="T521" s="407">
        <v>120000</v>
      </c>
      <c r="U521" s="407"/>
      <c r="V521" s="407"/>
      <c r="W521" s="407"/>
      <c r="X521" s="407"/>
      <c r="Y521" s="407"/>
      <c r="Z521" s="407"/>
      <c r="AA521" s="407">
        <f t="shared" si="63"/>
        <v>120000</v>
      </c>
      <c r="AC521" s="499"/>
      <c r="AD521" s="513">
        <v>120000</v>
      </c>
      <c r="AE521" s="508"/>
      <c r="AF521" s="508"/>
      <c r="AG521" s="508"/>
      <c r="AH521" s="507" t="s">
        <v>1126</v>
      </c>
    </row>
    <row r="522" spans="1:34" ht="31.5">
      <c r="A522" s="588"/>
      <c r="B522" s="607"/>
      <c r="C522" s="167"/>
      <c r="D522" s="242" t="s">
        <v>1090</v>
      </c>
      <c r="E522" s="142"/>
      <c r="F522" s="143"/>
      <c r="G522" s="142"/>
      <c r="H522" s="417"/>
      <c r="I522" s="243">
        <f>SUM(I523:I529)</f>
        <v>2500000</v>
      </c>
      <c r="J522" s="371">
        <f>SUM(J523:J529)</f>
        <v>0</v>
      </c>
      <c r="K522" s="371">
        <f>SUM(K523:K529)</f>
        <v>0</v>
      </c>
      <c r="L522" s="243">
        <f>SUM(L523:L529)</f>
        <v>2500000</v>
      </c>
      <c r="M522" s="243">
        <f aca="true" t="shared" si="71" ref="M522:Y522">SUM(M523:M529)</f>
        <v>0</v>
      </c>
      <c r="N522" s="243">
        <f t="shared" si="71"/>
        <v>0</v>
      </c>
      <c r="O522" s="243">
        <f t="shared" si="71"/>
        <v>0</v>
      </c>
      <c r="P522" s="243">
        <f t="shared" si="71"/>
        <v>0</v>
      </c>
      <c r="Q522" s="243">
        <f t="shared" si="71"/>
        <v>0</v>
      </c>
      <c r="R522" s="243">
        <f t="shared" si="71"/>
        <v>0</v>
      </c>
      <c r="S522" s="243">
        <f t="shared" si="71"/>
        <v>0</v>
      </c>
      <c r="T522" s="243">
        <f t="shared" si="71"/>
        <v>0</v>
      </c>
      <c r="U522" s="243">
        <f t="shared" si="71"/>
        <v>850000</v>
      </c>
      <c r="V522" s="243">
        <f t="shared" si="71"/>
        <v>1650000</v>
      </c>
      <c r="W522" s="243">
        <f t="shared" si="71"/>
        <v>0</v>
      </c>
      <c r="X522" s="243">
        <f t="shared" si="71"/>
        <v>0</v>
      </c>
      <c r="Y522" s="243">
        <f t="shared" si="71"/>
        <v>0</v>
      </c>
      <c r="Z522" s="407"/>
      <c r="AA522" s="407">
        <f t="shared" si="63"/>
        <v>2500000</v>
      </c>
      <c r="AC522" s="499"/>
      <c r="AD522" s="513"/>
      <c r="AE522" s="508"/>
      <c r="AF522" s="508"/>
      <c r="AG522" s="508"/>
      <c r="AH522" s="508"/>
    </row>
    <row r="523" spans="1:34" s="64" customFormat="1" ht="15.75">
      <c r="A523" s="588"/>
      <c r="B523" s="607"/>
      <c r="C523" s="244"/>
      <c r="D523" s="349" t="s">
        <v>1837</v>
      </c>
      <c r="E523" s="199"/>
      <c r="F523" s="200"/>
      <c r="G523" s="199"/>
      <c r="H523" s="417">
        <v>3110</v>
      </c>
      <c r="I523" s="201">
        <v>1500000</v>
      </c>
      <c r="J523" s="201"/>
      <c r="K523" s="201"/>
      <c r="L523" s="469">
        <v>1500000</v>
      </c>
      <c r="M523" s="201"/>
      <c r="N523" s="465"/>
      <c r="O523" s="465"/>
      <c r="P523" s="465"/>
      <c r="Q523" s="465"/>
      <c r="R523" s="465"/>
      <c r="S523" s="465"/>
      <c r="T523" s="465"/>
      <c r="U523" s="465"/>
      <c r="V523" s="465">
        <v>1500000</v>
      </c>
      <c r="W523" s="465"/>
      <c r="X523" s="465"/>
      <c r="Y523" s="465"/>
      <c r="Z523" s="465"/>
      <c r="AA523" s="407">
        <f t="shared" si="63"/>
        <v>1500000</v>
      </c>
      <c r="AC523" s="500"/>
      <c r="AD523" s="516">
        <v>1500000</v>
      </c>
      <c r="AE523" s="510"/>
      <c r="AF523" s="510"/>
      <c r="AG523" s="510"/>
      <c r="AH523" s="686" t="s">
        <v>1978</v>
      </c>
    </row>
    <row r="524" spans="1:34" s="64" customFormat="1" ht="15.75">
      <c r="A524" s="588"/>
      <c r="B524" s="607"/>
      <c r="C524" s="244"/>
      <c r="D524" s="349" t="s">
        <v>1092</v>
      </c>
      <c r="E524" s="199"/>
      <c r="F524" s="200"/>
      <c r="G524" s="199"/>
      <c r="H524" s="417">
        <v>3110</v>
      </c>
      <c r="I524" s="201">
        <v>150000</v>
      </c>
      <c r="J524" s="201"/>
      <c r="K524" s="201"/>
      <c r="L524" s="469">
        <v>150000</v>
      </c>
      <c r="M524" s="201"/>
      <c r="N524" s="465"/>
      <c r="O524" s="465"/>
      <c r="P524" s="465"/>
      <c r="Q524" s="465"/>
      <c r="R524" s="465"/>
      <c r="S524" s="465"/>
      <c r="T524" s="465"/>
      <c r="U524" s="465"/>
      <c r="V524" s="465">
        <v>150000</v>
      </c>
      <c r="W524" s="465"/>
      <c r="X524" s="465"/>
      <c r="Y524" s="465"/>
      <c r="Z524" s="465"/>
      <c r="AA524" s="407">
        <f t="shared" si="63"/>
        <v>150000</v>
      </c>
      <c r="AC524" s="500"/>
      <c r="AD524" s="516">
        <v>150000</v>
      </c>
      <c r="AE524" s="510"/>
      <c r="AF524" s="510"/>
      <c r="AG524" s="510"/>
      <c r="AH524" s="687"/>
    </row>
    <row r="525" spans="1:34" s="64" customFormat="1" ht="15.75">
      <c r="A525" s="588"/>
      <c r="B525" s="607"/>
      <c r="C525" s="244"/>
      <c r="D525" s="349" t="s">
        <v>1093</v>
      </c>
      <c r="E525" s="199"/>
      <c r="F525" s="200"/>
      <c r="G525" s="199"/>
      <c r="H525" s="417">
        <v>3110</v>
      </c>
      <c r="I525" s="201">
        <v>100000</v>
      </c>
      <c r="J525" s="201"/>
      <c r="K525" s="201"/>
      <c r="L525" s="469">
        <v>100000</v>
      </c>
      <c r="M525" s="201"/>
      <c r="N525" s="465"/>
      <c r="O525" s="465"/>
      <c r="P525" s="465"/>
      <c r="Q525" s="465"/>
      <c r="R525" s="465"/>
      <c r="S525" s="465"/>
      <c r="T525" s="465"/>
      <c r="U525" s="465">
        <v>100000</v>
      </c>
      <c r="V525" s="465"/>
      <c r="W525" s="465"/>
      <c r="X525" s="465"/>
      <c r="Y525" s="465"/>
      <c r="Z525" s="465"/>
      <c r="AA525" s="407">
        <f t="shared" si="63"/>
        <v>100000</v>
      </c>
      <c r="AC525" s="500"/>
      <c r="AD525" s="516">
        <v>100000</v>
      </c>
      <c r="AE525" s="510"/>
      <c r="AF525" s="510"/>
      <c r="AG525" s="510"/>
      <c r="AH525" s="687"/>
    </row>
    <row r="526" spans="1:34" s="64" customFormat="1" ht="15.75">
      <c r="A526" s="588"/>
      <c r="B526" s="607"/>
      <c r="C526" s="244"/>
      <c r="D526" s="349" t="s">
        <v>1094</v>
      </c>
      <c r="E526" s="199"/>
      <c r="F526" s="200"/>
      <c r="G526" s="199"/>
      <c r="H526" s="417">
        <v>3110</v>
      </c>
      <c r="I526" s="201">
        <v>220000</v>
      </c>
      <c r="J526" s="201"/>
      <c r="K526" s="201"/>
      <c r="L526" s="469">
        <v>220000</v>
      </c>
      <c r="M526" s="201"/>
      <c r="N526" s="465"/>
      <c r="O526" s="465"/>
      <c r="P526" s="465"/>
      <c r="Q526" s="465"/>
      <c r="R526" s="465"/>
      <c r="S526" s="465"/>
      <c r="T526" s="465"/>
      <c r="U526" s="465">
        <v>220000</v>
      </c>
      <c r="V526" s="465"/>
      <c r="W526" s="465"/>
      <c r="X526" s="465"/>
      <c r="Y526" s="465"/>
      <c r="Z526" s="465"/>
      <c r="AA526" s="407">
        <f t="shared" si="63"/>
        <v>220000</v>
      </c>
      <c r="AC526" s="500"/>
      <c r="AD526" s="516">
        <v>220000</v>
      </c>
      <c r="AE526" s="510"/>
      <c r="AF526" s="510"/>
      <c r="AG526" s="510"/>
      <c r="AH526" s="687"/>
    </row>
    <row r="527" spans="1:34" s="64" customFormat="1" ht="15.75">
      <c r="A527" s="588"/>
      <c r="B527" s="607"/>
      <c r="C527" s="244"/>
      <c r="D527" s="349" t="s">
        <v>1982</v>
      </c>
      <c r="E527" s="199"/>
      <c r="F527" s="200"/>
      <c r="G527" s="199"/>
      <c r="H527" s="417">
        <v>3110</v>
      </c>
      <c r="I527" s="201">
        <v>230000</v>
      </c>
      <c r="J527" s="201"/>
      <c r="K527" s="201"/>
      <c r="L527" s="469">
        <v>230000</v>
      </c>
      <c r="M527" s="201"/>
      <c r="N527" s="465"/>
      <c r="O527" s="465"/>
      <c r="P527" s="465"/>
      <c r="Q527" s="465"/>
      <c r="R527" s="465"/>
      <c r="S527" s="465"/>
      <c r="T527" s="465"/>
      <c r="U527" s="465">
        <v>230000</v>
      </c>
      <c r="V527" s="465"/>
      <c r="W527" s="465"/>
      <c r="X527" s="465"/>
      <c r="Y527" s="465"/>
      <c r="Z527" s="465"/>
      <c r="AA527" s="407">
        <f t="shared" si="63"/>
        <v>230000</v>
      </c>
      <c r="AC527" s="500"/>
      <c r="AD527" s="516">
        <v>230000</v>
      </c>
      <c r="AE527" s="510"/>
      <c r="AF527" s="510"/>
      <c r="AG527" s="510"/>
      <c r="AH527" s="687"/>
    </row>
    <row r="528" spans="1:34" s="64" customFormat="1" ht="15.75">
      <c r="A528" s="588"/>
      <c r="B528" s="607"/>
      <c r="C528" s="244"/>
      <c r="D528" s="349" t="s">
        <v>1983</v>
      </c>
      <c r="E528" s="199"/>
      <c r="F528" s="200"/>
      <c r="G528" s="199"/>
      <c r="H528" s="417">
        <v>3110</v>
      </c>
      <c r="I528" s="201">
        <v>200000</v>
      </c>
      <c r="J528" s="201"/>
      <c r="K528" s="201"/>
      <c r="L528" s="469">
        <v>200000</v>
      </c>
      <c r="M528" s="201"/>
      <c r="N528" s="465"/>
      <c r="O528" s="465"/>
      <c r="P528" s="465"/>
      <c r="Q528" s="465"/>
      <c r="R528" s="465"/>
      <c r="S528" s="465"/>
      <c r="T528" s="465"/>
      <c r="U528" s="465">
        <v>200000</v>
      </c>
      <c r="V528" s="465"/>
      <c r="W528" s="465"/>
      <c r="X528" s="465"/>
      <c r="Y528" s="465"/>
      <c r="Z528" s="465"/>
      <c r="AA528" s="407">
        <f t="shared" si="63"/>
        <v>200000</v>
      </c>
      <c r="AC528" s="500"/>
      <c r="AD528" s="516">
        <v>200000</v>
      </c>
      <c r="AE528" s="510"/>
      <c r="AF528" s="510"/>
      <c r="AG528" s="510"/>
      <c r="AH528" s="687"/>
    </row>
    <row r="529" spans="1:34" s="64" customFormat="1" ht="15.75">
      <c r="A529" s="588"/>
      <c r="B529" s="607"/>
      <c r="C529" s="244"/>
      <c r="D529" s="349" t="s">
        <v>1984</v>
      </c>
      <c r="E529" s="199"/>
      <c r="F529" s="200"/>
      <c r="G529" s="199"/>
      <c r="H529" s="417">
        <v>3110</v>
      </c>
      <c r="I529" s="201">
        <v>100000</v>
      </c>
      <c r="J529" s="201"/>
      <c r="K529" s="201"/>
      <c r="L529" s="469">
        <v>100000</v>
      </c>
      <c r="M529" s="201"/>
      <c r="N529" s="465"/>
      <c r="O529" s="465"/>
      <c r="P529" s="465"/>
      <c r="Q529" s="465"/>
      <c r="R529" s="465"/>
      <c r="S529" s="465"/>
      <c r="T529" s="465"/>
      <c r="U529" s="465">
        <v>100000</v>
      </c>
      <c r="V529" s="465"/>
      <c r="W529" s="465"/>
      <c r="X529" s="465"/>
      <c r="Y529" s="465"/>
      <c r="Z529" s="465"/>
      <c r="AA529" s="407">
        <f t="shared" si="63"/>
        <v>100000</v>
      </c>
      <c r="AC529" s="500"/>
      <c r="AD529" s="516">
        <v>100000</v>
      </c>
      <c r="AE529" s="510"/>
      <c r="AF529" s="510"/>
      <c r="AG529" s="510"/>
      <c r="AH529" s="688"/>
    </row>
    <row r="530" spans="1:34" ht="47.25">
      <c r="A530" s="588"/>
      <c r="B530" s="607"/>
      <c r="C530" s="167"/>
      <c r="D530" s="13" t="s">
        <v>1838</v>
      </c>
      <c r="E530" s="142"/>
      <c r="F530" s="143"/>
      <c r="G530" s="142"/>
      <c r="H530" s="417"/>
      <c r="I530" s="49">
        <f>SUM(I531:I536)</f>
        <v>60800</v>
      </c>
      <c r="J530" s="372">
        <f>SUM(J531:J536)</f>
        <v>0</v>
      </c>
      <c r="K530" s="372">
        <f>SUM(K531:K536)</f>
        <v>0</v>
      </c>
      <c r="L530" s="49">
        <f>SUM(L531:L536)</f>
        <v>60800</v>
      </c>
      <c r="M530" s="49">
        <f aca="true" t="shared" si="72" ref="M530:Y530">SUM(M531:M536)</f>
        <v>0</v>
      </c>
      <c r="N530" s="49">
        <f t="shared" si="72"/>
        <v>0</v>
      </c>
      <c r="O530" s="49">
        <f t="shared" si="72"/>
        <v>0</v>
      </c>
      <c r="P530" s="49">
        <f t="shared" si="72"/>
        <v>0</v>
      </c>
      <c r="Q530" s="49">
        <f t="shared" si="72"/>
        <v>0</v>
      </c>
      <c r="R530" s="49">
        <f t="shared" si="72"/>
        <v>0</v>
      </c>
      <c r="S530" s="49">
        <f t="shared" si="72"/>
        <v>0</v>
      </c>
      <c r="T530" s="49">
        <f t="shared" si="72"/>
        <v>0</v>
      </c>
      <c r="U530" s="49">
        <f t="shared" si="72"/>
        <v>60800</v>
      </c>
      <c r="V530" s="49">
        <f t="shared" si="72"/>
        <v>0</v>
      </c>
      <c r="W530" s="49">
        <f t="shared" si="72"/>
        <v>0</v>
      </c>
      <c r="X530" s="49">
        <f t="shared" si="72"/>
        <v>0</v>
      </c>
      <c r="Y530" s="49">
        <f t="shared" si="72"/>
        <v>0</v>
      </c>
      <c r="Z530" s="407"/>
      <c r="AA530" s="407">
        <f t="shared" si="63"/>
        <v>60800</v>
      </c>
      <c r="AC530" s="499"/>
      <c r="AD530" s="513"/>
      <c r="AE530" s="508"/>
      <c r="AF530" s="508"/>
      <c r="AG530" s="508"/>
      <c r="AH530" s="508"/>
    </row>
    <row r="531" spans="1:34" s="64" customFormat="1" ht="15.75">
      <c r="A531" s="588"/>
      <c r="B531" s="607"/>
      <c r="C531" s="244"/>
      <c r="D531" s="350" t="s">
        <v>300</v>
      </c>
      <c r="E531" s="199"/>
      <c r="F531" s="200"/>
      <c r="G531" s="199"/>
      <c r="H531" s="417">
        <v>3110</v>
      </c>
      <c r="I531" s="201">
        <v>14400</v>
      </c>
      <c r="J531" s="201"/>
      <c r="K531" s="201"/>
      <c r="L531" s="469">
        <v>14400</v>
      </c>
      <c r="M531" s="201"/>
      <c r="N531" s="465"/>
      <c r="O531" s="465"/>
      <c r="P531" s="465"/>
      <c r="Q531" s="465"/>
      <c r="R531" s="465"/>
      <c r="S531" s="465"/>
      <c r="T531" s="465"/>
      <c r="U531" s="465">
        <v>14400</v>
      </c>
      <c r="V531" s="465"/>
      <c r="W531" s="465"/>
      <c r="X531" s="465"/>
      <c r="Y531" s="465"/>
      <c r="Z531" s="465"/>
      <c r="AA531" s="407">
        <f t="shared" si="63"/>
        <v>14400</v>
      </c>
      <c r="AC531" s="500"/>
      <c r="AD531" s="516">
        <v>14400</v>
      </c>
      <c r="AE531" s="510"/>
      <c r="AF531" s="510"/>
      <c r="AG531" s="510"/>
      <c r="AH531" s="686" t="s">
        <v>1978</v>
      </c>
    </row>
    <row r="532" spans="1:34" s="64" customFormat="1" ht="31.5">
      <c r="A532" s="588"/>
      <c r="B532" s="607"/>
      <c r="C532" s="244"/>
      <c r="D532" s="346" t="s">
        <v>1985</v>
      </c>
      <c r="E532" s="199"/>
      <c r="F532" s="200"/>
      <c r="G532" s="199"/>
      <c r="H532" s="417">
        <v>3110</v>
      </c>
      <c r="I532" s="201">
        <v>12000</v>
      </c>
      <c r="J532" s="201"/>
      <c r="K532" s="201"/>
      <c r="L532" s="469">
        <v>12000</v>
      </c>
      <c r="M532" s="201"/>
      <c r="N532" s="465"/>
      <c r="O532" s="465"/>
      <c r="P532" s="465"/>
      <c r="Q532" s="465"/>
      <c r="R532" s="465"/>
      <c r="S532" s="465"/>
      <c r="T532" s="465"/>
      <c r="U532" s="465">
        <v>12000</v>
      </c>
      <c r="V532" s="465"/>
      <c r="W532" s="465"/>
      <c r="X532" s="465"/>
      <c r="Y532" s="465"/>
      <c r="Z532" s="465"/>
      <c r="AA532" s="407">
        <f t="shared" si="63"/>
        <v>12000</v>
      </c>
      <c r="AC532" s="500"/>
      <c r="AD532" s="516">
        <v>12000</v>
      </c>
      <c r="AE532" s="510"/>
      <c r="AF532" s="510"/>
      <c r="AG532" s="510"/>
      <c r="AH532" s="687"/>
    </row>
    <row r="533" spans="1:34" s="64" customFormat="1" ht="31.5">
      <c r="A533" s="588"/>
      <c r="B533" s="607"/>
      <c r="C533" s="244"/>
      <c r="D533" s="346" t="s">
        <v>867</v>
      </c>
      <c r="E533" s="199"/>
      <c r="F533" s="200"/>
      <c r="G533" s="199"/>
      <c r="H533" s="417">
        <v>3110</v>
      </c>
      <c r="I533" s="201">
        <v>12000</v>
      </c>
      <c r="J533" s="201"/>
      <c r="K533" s="201"/>
      <c r="L533" s="469">
        <v>12000</v>
      </c>
      <c r="M533" s="201"/>
      <c r="N533" s="465"/>
      <c r="O533" s="465"/>
      <c r="P533" s="465"/>
      <c r="Q533" s="465"/>
      <c r="R533" s="465"/>
      <c r="S533" s="465"/>
      <c r="T533" s="465"/>
      <c r="U533" s="465">
        <v>12000</v>
      </c>
      <c r="V533" s="465"/>
      <c r="W533" s="465"/>
      <c r="X533" s="465"/>
      <c r="Y533" s="465"/>
      <c r="Z533" s="465"/>
      <c r="AA533" s="407">
        <f t="shared" si="63"/>
        <v>12000</v>
      </c>
      <c r="AC533" s="500"/>
      <c r="AD533" s="516">
        <v>12000</v>
      </c>
      <c r="AE533" s="510"/>
      <c r="AF533" s="510"/>
      <c r="AG533" s="510"/>
      <c r="AH533" s="687"/>
    </row>
    <row r="534" spans="1:34" s="64" customFormat="1" ht="15.75">
      <c r="A534" s="588"/>
      <c r="B534" s="607"/>
      <c r="C534" s="244"/>
      <c r="D534" s="346" t="s">
        <v>301</v>
      </c>
      <c r="E534" s="199"/>
      <c r="F534" s="200"/>
      <c r="G534" s="199"/>
      <c r="H534" s="417">
        <v>3110</v>
      </c>
      <c r="I534" s="201">
        <v>4000</v>
      </c>
      <c r="J534" s="201"/>
      <c r="K534" s="201"/>
      <c r="L534" s="469">
        <v>4000</v>
      </c>
      <c r="M534" s="201"/>
      <c r="N534" s="465"/>
      <c r="O534" s="465"/>
      <c r="P534" s="465"/>
      <c r="Q534" s="465"/>
      <c r="R534" s="465"/>
      <c r="S534" s="465"/>
      <c r="T534" s="465"/>
      <c r="U534" s="465">
        <v>4000</v>
      </c>
      <c r="V534" s="465"/>
      <c r="W534" s="465"/>
      <c r="X534" s="465"/>
      <c r="Y534" s="465"/>
      <c r="Z534" s="465"/>
      <c r="AA534" s="407">
        <f t="shared" si="63"/>
        <v>4000</v>
      </c>
      <c r="AC534" s="500"/>
      <c r="AD534" s="516">
        <v>4000</v>
      </c>
      <c r="AE534" s="510"/>
      <c r="AF534" s="510"/>
      <c r="AG534" s="510"/>
      <c r="AH534" s="687"/>
    </row>
    <row r="535" spans="1:34" s="64" customFormat="1" ht="15.75">
      <c r="A535" s="588"/>
      <c r="B535" s="607"/>
      <c r="C535" s="244"/>
      <c r="D535" s="346" t="s">
        <v>1839</v>
      </c>
      <c r="E535" s="199"/>
      <c r="F535" s="200"/>
      <c r="G535" s="199"/>
      <c r="H535" s="417">
        <v>3110</v>
      </c>
      <c r="I535" s="201">
        <v>10900</v>
      </c>
      <c r="J535" s="201"/>
      <c r="K535" s="201"/>
      <c r="L535" s="469">
        <v>10900</v>
      </c>
      <c r="M535" s="201"/>
      <c r="N535" s="465"/>
      <c r="O535" s="465"/>
      <c r="P535" s="465"/>
      <c r="Q535" s="465"/>
      <c r="R535" s="465"/>
      <c r="S535" s="465"/>
      <c r="T535" s="465"/>
      <c r="U535" s="465">
        <v>10900</v>
      </c>
      <c r="V535" s="465"/>
      <c r="W535" s="465"/>
      <c r="X535" s="465"/>
      <c r="Y535" s="465"/>
      <c r="Z535" s="465"/>
      <c r="AA535" s="407">
        <f t="shared" si="63"/>
        <v>10900</v>
      </c>
      <c r="AC535" s="500"/>
      <c r="AD535" s="516">
        <v>10900</v>
      </c>
      <c r="AE535" s="510"/>
      <c r="AF535" s="510"/>
      <c r="AG535" s="510"/>
      <c r="AH535" s="687"/>
    </row>
    <row r="536" spans="1:34" s="64" customFormat="1" ht="15.75">
      <c r="A536" s="588"/>
      <c r="B536" s="607"/>
      <c r="C536" s="244"/>
      <c r="D536" s="346" t="s">
        <v>302</v>
      </c>
      <c r="E536" s="199"/>
      <c r="F536" s="200"/>
      <c r="G536" s="199"/>
      <c r="H536" s="417">
        <v>3110</v>
      </c>
      <c r="I536" s="201">
        <v>7500</v>
      </c>
      <c r="J536" s="201"/>
      <c r="K536" s="201"/>
      <c r="L536" s="469">
        <v>7500</v>
      </c>
      <c r="M536" s="201"/>
      <c r="N536" s="465"/>
      <c r="O536" s="465"/>
      <c r="P536" s="465"/>
      <c r="Q536" s="465"/>
      <c r="R536" s="465"/>
      <c r="S536" s="465"/>
      <c r="T536" s="465"/>
      <c r="U536" s="465">
        <v>7500</v>
      </c>
      <c r="V536" s="465"/>
      <c r="W536" s="465"/>
      <c r="X536" s="465"/>
      <c r="Y536" s="465"/>
      <c r="Z536" s="465"/>
      <c r="AA536" s="407">
        <f t="shared" si="63"/>
        <v>7500</v>
      </c>
      <c r="AC536" s="500"/>
      <c r="AD536" s="516">
        <v>7500</v>
      </c>
      <c r="AE536" s="510"/>
      <c r="AF536" s="510"/>
      <c r="AG536" s="510"/>
      <c r="AH536" s="688"/>
    </row>
    <row r="537" spans="1:34" ht="69.75" customHeight="1">
      <c r="A537" s="588"/>
      <c r="B537" s="607"/>
      <c r="C537" s="167"/>
      <c r="D537" s="13" t="s">
        <v>1841</v>
      </c>
      <c r="E537" s="142"/>
      <c r="F537" s="143"/>
      <c r="G537" s="142"/>
      <c r="H537" s="417">
        <v>3132</v>
      </c>
      <c r="I537" s="144">
        <v>100000</v>
      </c>
      <c r="J537" s="144"/>
      <c r="K537" s="144"/>
      <c r="L537" s="470">
        <v>100000</v>
      </c>
      <c r="M537" s="144"/>
      <c r="N537" s="407"/>
      <c r="O537" s="407"/>
      <c r="P537" s="407"/>
      <c r="Q537" s="407"/>
      <c r="R537" s="407">
        <v>100000</v>
      </c>
      <c r="S537" s="407"/>
      <c r="T537" s="407"/>
      <c r="U537" s="407"/>
      <c r="V537" s="407"/>
      <c r="W537" s="407"/>
      <c r="X537" s="407"/>
      <c r="Y537" s="407"/>
      <c r="Z537" s="407">
        <f>26517.27+7394.8</f>
        <v>33912.07</v>
      </c>
      <c r="AA537" s="407">
        <f t="shared" si="63"/>
        <v>66087.93</v>
      </c>
      <c r="AC537" s="499"/>
      <c r="AD537" s="513">
        <v>100000</v>
      </c>
      <c r="AE537" s="508">
        <v>99920</v>
      </c>
      <c r="AF537" s="507" t="s">
        <v>1397</v>
      </c>
      <c r="AG537" s="507" t="s">
        <v>1127</v>
      </c>
      <c r="AH537" s="507" t="s">
        <v>1128</v>
      </c>
    </row>
    <row r="538" spans="1:34" ht="69.75" customHeight="1">
      <c r="A538" s="588"/>
      <c r="B538" s="607"/>
      <c r="C538" s="167"/>
      <c r="D538" s="13" t="s">
        <v>2117</v>
      </c>
      <c r="E538" s="142"/>
      <c r="F538" s="143"/>
      <c r="G538" s="142"/>
      <c r="H538" s="417">
        <v>3110</v>
      </c>
      <c r="I538" s="144">
        <v>14915</v>
      </c>
      <c r="J538" s="144"/>
      <c r="K538" s="144"/>
      <c r="L538" s="470"/>
      <c r="M538" s="144"/>
      <c r="N538" s="407"/>
      <c r="O538" s="407"/>
      <c r="P538" s="407"/>
      <c r="Q538" s="407"/>
      <c r="R538" s="407"/>
      <c r="S538" s="407"/>
      <c r="T538" s="407"/>
      <c r="U538" s="407"/>
      <c r="V538" s="407"/>
      <c r="W538" s="407"/>
      <c r="X538" s="407">
        <v>14915</v>
      </c>
      <c r="Y538" s="407"/>
      <c r="Z538" s="407">
        <v>14915</v>
      </c>
      <c r="AA538" s="407">
        <f t="shared" si="63"/>
        <v>0</v>
      </c>
      <c r="AC538" s="499"/>
      <c r="AD538" s="513"/>
      <c r="AE538" s="508"/>
      <c r="AF538" s="507"/>
      <c r="AG538" s="507"/>
      <c r="AH538" s="507"/>
    </row>
    <row r="539" spans="1:34" ht="51">
      <c r="A539" s="588"/>
      <c r="B539" s="607"/>
      <c r="C539" s="167"/>
      <c r="D539" s="13" t="s">
        <v>1843</v>
      </c>
      <c r="E539" s="142"/>
      <c r="F539" s="143"/>
      <c r="G539" s="142"/>
      <c r="H539" s="417">
        <v>3132</v>
      </c>
      <c r="I539" s="144">
        <v>53783.2</v>
      </c>
      <c r="J539" s="144"/>
      <c r="K539" s="144"/>
      <c r="L539" s="470">
        <v>53783.2</v>
      </c>
      <c r="M539" s="144"/>
      <c r="N539" s="407"/>
      <c r="O539" s="407"/>
      <c r="P539" s="407"/>
      <c r="Q539" s="407"/>
      <c r="R539" s="407"/>
      <c r="S539" s="407"/>
      <c r="T539" s="407"/>
      <c r="U539" s="407"/>
      <c r="V539" s="407">
        <v>53783.2</v>
      </c>
      <c r="W539" s="407"/>
      <c r="X539" s="407">
        <f>53783.2-53783.2</f>
        <v>0</v>
      </c>
      <c r="Y539" s="407"/>
      <c r="Z539" s="407">
        <v>53783.2</v>
      </c>
      <c r="AA539" s="407">
        <f t="shared" si="63"/>
        <v>0</v>
      </c>
      <c r="AC539" s="499"/>
      <c r="AD539" s="513">
        <v>53783.2</v>
      </c>
      <c r="AE539" s="508">
        <v>53783.2</v>
      </c>
      <c r="AF539" s="507" t="s">
        <v>2084</v>
      </c>
      <c r="AG539" s="507" t="s">
        <v>1127</v>
      </c>
      <c r="AH539" s="507" t="s">
        <v>1128</v>
      </c>
    </row>
    <row r="540" spans="1:34" ht="45.75" customHeight="1">
      <c r="A540" s="588"/>
      <c r="B540" s="607"/>
      <c r="C540" s="167"/>
      <c r="D540" s="13" t="s">
        <v>1842</v>
      </c>
      <c r="E540" s="142"/>
      <c r="F540" s="143"/>
      <c r="G540" s="142"/>
      <c r="H540" s="417">
        <v>3132</v>
      </c>
      <c r="I540" s="144">
        <v>97708</v>
      </c>
      <c r="J540" s="144"/>
      <c r="K540" s="144"/>
      <c r="L540" s="470">
        <v>97708</v>
      </c>
      <c r="M540" s="144"/>
      <c r="N540" s="407"/>
      <c r="O540" s="407"/>
      <c r="P540" s="407"/>
      <c r="Q540" s="407"/>
      <c r="R540" s="407"/>
      <c r="S540" s="407"/>
      <c r="T540" s="407"/>
      <c r="U540" s="407">
        <v>97708</v>
      </c>
      <c r="V540" s="407"/>
      <c r="W540" s="407"/>
      <c r="X540" s="407">
        <f>97708-97708</f>
        <v>0</v>
      </c>
      <c r="Y540" s="407"/>
      <c r="Z540" s="407">
        <f>95996+1712</f>
        <v>97708</v>
      </c>
      <c r="AA540" s="407">
        <f t="shared" si="63"/>
        <v>0</v>
      </c>
      <c r="AC540" s="499"/>
      <c r="AD540" s="513">
        <v>97708</v>
      </c>
      <c r="AE540" s="508">
        <v>97708</v>
      </c>
      <c r="AF540" s="507" t="s">
        <v>1129</v>
      </c>
      <c r="AG540" s="507" t="s">
        <v>1127</v>
      </c>
      <c r="AH540" s="507" t="s">
        <v>1128</v>
      </c>
    </row>
    <row r="541" spans="1:34" ht="31.5">
      <c r="A541" s="588"/>
      <c r="B541" s="607"/>
      <c r="C541" s="167"/>
      <c r="D541" s="13" t="s">
        <v>368</v>
      </c>
      <c r="E541" s="142"/>
      <c r="F541" s="143"/>
      <c r="G541" s="142"/>
      <c r="H541" s="417">
        <v>3132</v>
      </c>
      <c r="I541" s="144">
        <f>81810-56519.76</f>
        <v>25290.24</v>
      </c>
      <c r="J541" s="144"/>
      <c r="K541" s="144"/>
      <c r="L541" s="470">
        <v>81810</v>
      </c>
      <c r="M541" s="144"/>
      <c r="N541" s="407"/>
      <c r="O541" s="407"/>
      <c r="P541" s="407"/>
      <c r="Q541" s="407"/>
      <c r="R541" s="407">
        <v>24600</v>
      </c>
      <c r="S541" s="407">
        <v>57210</v>
      </c>
      <c r="T541" s="407"/>
      <c r="U541" s="407"/>
      <c r="V541" s="407"/>
      <c r="W541" s="407"/>
      <c r="X541" s="407">
        <v>-56519.76</v>
      </c>
      <c r="Y541" s="407"/>
      <c r="Z541" s="407">
        <f>8247.26+17042.98</f>
        <v>25290.24</v>
      </c>
      <c r="AA541" s="407">
        <f t="shared" si="63"/>
        <v>0</v>
      </c>
      <c r="AC541" s="499"/>
      <c r="AD541" s="513">
        <v>81810</v>
      </c>
      <c r="AE541" s="508"/>
      <c r="AF541" s="507" t="s">
        <v>1130</v>
      </c>
      <c r="AG541" s="508"/>
      <c r="AH541" s="508" t="s">
        <v>1128</v>
      </c>
    </row>
    <row r="542" spans="1:34" ht="31.5">
      <c r="A542" s="588"/>
      <c r="B542" s="607"/>
      <c r="C542" s="167"/>
      <c r="D542" s="13" t="s">
        <v>1934</v>
      </c>
      <c r="E542" s="142"/>
      <c r="F542" s="143"/>
      <c r="G542" s="142"/>
      <c r="H542" s="417">
        <v>3132</v>
      </c>
      <c r="I542" s="144">
        <v>58133.6</v>
      </c>
      <c r="J542" s="144"/>
      <c r="K542" s="144"/>
      <c r="L542" s="470">
        <v>58133.6</v>
      </c>
      <c r="M542" s="144"/>
      <c r="N542" s="407"/>
      <c r="O542" s="407"/>
      <c r="P542" s="407"/>
      <c r="Q542" s="407"/>
      <c r="R542" s="407">
        <v>58133.6</v>
      </c>
      <c r="S542" s="407"/>
      <c r="T542" s="407"/>
      <c r="U542" s="407"/>
      <c r="V542" s="407"/>
      <c r="W542" s="407"/>
      <c r="X542" s="407"/>
      <c r="Y542" s="407"/>
      <c r="Z542" s="407">
        <f>47632.06+7352.93</f>
        <v>54984.99</v>
      </c>
      <c r="AA542" s="407">
        <f t="shared" si="63"/>
        <v>3148.61</v>
      </c>
      <c r="AC542" s="499"/>
      <c r="AD542" s="513">
        <v>58133.6</v>
      </c>
      <c r="AE542" s="508">
        <v>58133.6</v>
      </c>
      <c r="AF542" s="507" t="s">
        <v>1131</v>
      </c>
      <c r="AG542" s="507" t="s">
        <v>1127</v>
      </c>
      <c r="AH542" s="508" t="s">
        <v>1128</v>
      </c>
    </row>
    <row r="543" spans="1:34" ht="51.75" customHeight="1">
      <c r="A543" s="588"/>
      <c r="B543" s="607"/>
      <c r="C543" s="167"/>
      <c r="D543" s="248" t="s">
        <v>371</v>
      </c>
      <c r="E543" s="142"/>
      <c r="F543" s="143"/>
      <c r="G543" s="142"/>
      <c r="H543" s="417">
        <v>3132</v>
      </c>
      <c r="I543" s="144">
        <v>1837410</v>
      </c>
      <c r="J543" s="144"/>
      <c r="K543" s="144"/>
      <c r="L543" s="470">
        <v>1837410</v>
      </c>
      <c r="M543" s="144"/>
      <c r="N543" s="407"/>
      <c r="O543" s="407"/>
      <c r="P543" s="407"/>
      <c r="Q543" s="407"/>
      <c r="R543" s="407"/>
      <c r="S543" s="407">
        <v>24874</v>
      </c>
      <c r="T543" s="407">
        <f>551223-24874</f>
        <v>526349</v>
      </c>
      <c r="U543" s="407">
        <f>443100-443100-97708</f>
        <v>-97708</v>
      </c>
      <c r="V543" s="407">
        <f>100000-100000-53783.2</f>
        <v>-53783.2</v>
      </c>
      <c r="W543" s="407">
        <f>200000+60000-183700-92800</f>
        <v>-16500</v>
      </c>
      <c r="X543" s="407">
        <f>543087-19987+97708+53783.2+183700+92800</f>
        <v>951091.2</v>
      </c>
      <c r="Y543" s="407">
        <v>503087</v>
      </c>
      <c r="Z543" s="407">
        <f>7462+17411.34+792</f>
        <v>25665.34</v>
      </c>
      <c r="AA543" s="407">
        <f t="shared" si="63"/>
        <v>1308657.66</v>
      </c>
      <c r="AC543" s="499"/>
      <c r="AD543" s="513">
        <v>1837410</v>
      </c>
      <c r="AE543" s="508">
        <v>1837410</v>
      </c>
      <c r="AF543" s="507" t="s">
        <v>1132</v>
      </c>
      <c r="AG543" s="507" t="s">
        <v>2085</v>
      </c>
      <c r="AH543" s="507" t="s">
        <v>1126</v>
      </c>
    </row>
    <row r="544" spans="1:34" ht="63.75">
      <c r="A544" s="588"/>
      <c r="B544" s="607"/>
      <c r="C544" s="167"/>
      <c r="D544" s="13" t="s">
        <v>372</v>
      </c>
      <c r="E544" s="142"/>
      <c r="F544" s="143"/>
      <c r="G544" s="142"/>
      <c r="H544" s="417">
        <v>3132</v>
      </c>
      <c r="I544" s="144">
        <f>380000-14915</f>
        <v>365085</v>
      </c>
      <c r="J544" s="144"/>
      <c r="K544" s="144"/>
      <c r="L544" s="470">
        <v>380000</v>
      </c>
      <c r="M544" s="144"/>
      <c r="N544" s="407"/>
      <c r="O544" s="407"/>
      <c r="P544" s="407"/>
      <c r="Q544" s="407"/>
      <c r="R544" s="407">
        <v>114000</v>
      </c>
      <c r="S544" s="407">
        <v>233000</v>
      </c>
      <c r="T544" s="407">
        <v>33000</v>
      </c>
      <c r="U544" s="407"/>
      <c r="V544" s="407"/>
      <c r="W544" s="407"/>
      <c r="X544" s="407">
        <v>-14915</v>
      </c>
      <c r="Y544" s="407"/>
      <c r="Z544" s="407">
        <f>111971.1+61219.9+138850.9+53043.1</f>
        <v>365085</v>
      </c>
      <c r="AA544" s="407">
        <f aca="true" t="shared" si="73" ref="AA544:AA610">N544+O544+P544+Q544+R544+S544+T544+U544+V544+W544+X544-Z544</f>
        <v>0</v>
      </c>
      <c r="AC544" s="499"/>
      <c r="AD544" s="513">
        <v>380000</v>
      </c>
      <c r="AE544" s="508">
        <v>379219</v>
      </c>
      <c r="AF544" s="507" t="s">
        <v>1133</v>
      </c>
      <c r="AG544" s="507" t="s">
        <v>1127</v>
      </c>
      <c r="AH544" s="507" t="s">
        <v>1128</v>
      </c>
    </row>
    <row r="545" spans="1:34" ht="15.75">
      <c r="A545" s="588"/>
      <c r="B545" s="607"/>
      <c r="C545" s="167"/>
      <c r="D545" s="13" t="s">
        <v>225</v>
      </c>
      <c r="E545" s="142"/>
      <c r="F545" s="143"/>
      <c r="G545" s="142"/>
      <c r="H545" s="417">
        <v>3110</v>
      </c>
      <c r="I545" s="144">
        <v>7000</v>
      </c>
      <c r="J545" s="144"/>
      <c r="K545" s="144"/>
      <c r="L545" s="470"/>
      <c r="M545" s="144"/>
      <c r="N545" s="407"/>
      <c r="O545" s="407"/>
      <c r="P545" s="407"/>
      <c r="Q545" s="407"/>
      <c r="R545" s="407"/>
      <c r="S545" s="407"/>
      <c r="T545" s="407"/>
      <c r="U545" s="407"/>
      <c r="V545" s="407"/>
      <c r="W545" s="407"/>
      <c r="X545" s="407">
        <v>7000</v>
      </c>
      <c r="Y545" s="407"/>
      <c r="Z545" s="407"/>
      <c r="AA545" s="407">
        <f t="shared" si="73"/>
        <v>7000</v>
      </c>
      <c r="AC545" s="499"/>
      <c r="AD545" s="513"/>
      <c r="AE545" s="508"/>
      <c r="AF545" s="507"/>
      <c r="AG545" s="507"/>
      <c r="AH545" s="507"/>
    </row>
    <row r="546" spans="1:34" ht="31.5">
      <c r="A546" s="588"/>
      <c r="B546" s="607"/>
      <c r="C546" s="167"/>
      <c r="D546" s="13" t="s">
        <v>224</v>
      </c>
      <c r="E546" s="142"/>
      <c r="F546" s="143"/>
      <c r="G546" s="142"/>
      <c r="H546" s="417">
        <v>3132</v>
      </c>
      <c r="I546" s="144">
        <v>8516</v>
      </c>
      <c r="J546" s="144"/>
      <c r="K546" s="144"/>
      <c r="L546" s="470"/>
      <c r="M546" s="144"/>
      <c r="N546" s="407"/>
      <c r="O546" s="407"/>
      <c r="P546" s="407"/>
      <c r="Q546" s="407"/>
      <c r="R546" s="407"/>
      <c r="S546" s="407"/>
      <c r="T546" s="407"/>
      <c r="U546" s="407"/>
      <c r="V546" s="407"/>
      <c r="W546" s="407"/>
      <c r="X546" s="407">
        <v>8516</v>
      </c>
      <c r="Y546" s="407"/>
      <c r="Z546" s="407"/>
      <c r="AA546" s="407">
        <f t="shared" si="73"/>
        <v>8516</v>
      </c>
      <c r="AC546" s="499"/>
      <c r="AD546" s="513"/>
      <c r="AE546" s="508"/>
      <c r="AF546" s="507"/>
      <c r="AG546" s="507"/>
      <c r="AH546" s="507"/>
    </row>
    <row r="547" spans="1:34" ht="38.25">
      <c r="A547" s="570"/>
      <c r="B547" s="606"/>
      <c r="C547" s="167"/>
      <c r="D547" s="13" t="s">
        <v>67</v>
      </c>
      <c r="E547" s="142"/>
      <c r="F547" s="143"/>
      <c r="G547" s="142"/>
      <c r="H547" s="417">
        <v>3132</v>
      </c>
      <c r="I547" s="144">
        <v>257000</v>
      </c>
      <c r="J547" s="144"/>
      <c r="K547" s="144"/>
      <c r="L547" s="470">
        <v>257000</v>
      </c>
      <c r="M547" s="144"/>
      <c r="N547" s="407"/>
      <c r="O547" s="407"/>
      <c r="P547" s="407"/>
      <c r="Q547" s="407"/>
      <c r="R547" s="407">
        <v>77100</v>
      </c>
      <c r="S547" s="407">
        <f>90000-24874</f>
        <v>65126</v>
      </c>
      <c r="T547" s="407">
        <f>89900+24874</f>
        <v>114774</v>
      </c>
      <c r="U547" s="407"/>
      <c r="V547" s="407"/>
      <c r="W547" s="407"/>
      <c r="X547" s="407"/>
      <c r="Y547" s="407"/>
      <c r="Z547" s="407">
        <f>75743.4+25736.6+155520</f>
        <v>257000</v>
      </c>
      <c r="AA547" s="407">
        <f t="shared" si="73"/>
        <v>0</v>
      </c>
      <c r="AC547" s="499"/>
      <c r="AD547" s="513">
        <v>257000</v>
      </c>
      <c r="AE547" s="508">
        <v>257000</v>
      </c>
      <c r="AF547" s="507" t="s">
        <v>1134</v>
      </c>
      <c r="AG547" s="507" t="s">
        <v>1127</v>
      </c>
      <c r="AH547" s="508" t="s">
        <v>1128</v>
      </c>
    </row>
    <row r="548" spans="1:34" s="30" customFormat="1" ht="15.75">
      <c r="A548" s="587" t="s">
        <v>1258</v>
      </c>
      <c r="B548" s="605"/>
      <c r="C548" s="227"/>
      <c r="D548" s="249" t="s">
        <v>1456</v>
      </c>
      <c r="E548" s="137"/>
      <c r="F548" s="138"/>
      <c r="G548" s="137"/>
      <c r="H548" s="416"/>
      <c r="I548" s="396">
        <f>SUM(I549:I552)</f>
        <v>343300.39</v>
      </c>
      <c r="J548" s="396">
        <f aca="true" t="shared" si="74" ref="J548:O548">SUM(J549:J552)</f>
        <v>0</v>
      </c>
      <c r="K548" s="396">
        <f t="shared" si="74"/>
        <v>0</v>
      </c>
      <c r="L548" s="396">
        <f t="shared" si="74"/>
        <v>119528.2</v>
      </c>
      <c r="M548" s="396">
        <f t="shared" si="74"/>
        <v>0</v>
      </c>
      <c r="N548" s="396">
        <f t="shared" si="74"/>
        <v>0</v>
      </c>
      <c r="O548" s="396">
        <f t="shared" si="74"/>
        <v>0</v>
      </c>
      <c r="P548" s="396">
        <f aca="true" t="shared" si="75" ref="P548:Z548">SUM(P549:P552)</f>
        <v>0</v>
      </c>
      <c r="Q548" s="396">
        <f t="shared" si="75"/>
        <v>0</v>
      </c>
      <c r="R548" s="396">
        <f t="shared" si="75"/>
        <v>18540</v>
      </c>
      <c r="S548" s="396">
        <f t="shared" si="75"/>
        <v>3120</v>
      </c>
      <c r="T548" s="396">
        <f t="shared" si="75"/>
        <v>7250</v>
      </c>
      <c r="U548" s="396">
        <f t="shared" si="75"/>
        <v>0</v>
      </c>
      <c r="V548" s="396">
        <f t="shared" si="75"/>
        <v>0</v>
      </c>
      <c r="W548" s="396">
        <f t="shared" si="75"/>
        <v>92800</v>
      </c>
      <c r="X548" s="396">
        <f t="shared" si="75"/>
        <v>184470.39</v>
      </c>
      <c r="Y548" s="396">
        <f t="shared" si="75"/>
        <v>37120</v>
      </c>
      <c r="Z548" s="396">
        <f t="shared" si="75"/>
        <v>118877.63</v>
      </c>
      <c r="AA548" s="407">
        <f t="shared" si="73"/>
        <v>187302.76</v>
      </c>
      <c r="AC548" s="59"/>
      <c r="AD548" s="514"/>
      <c r="AE548" s="509"/>
      <c r="AF548" s="509"/>
      <c r="AG548" s="509"/>
      <c r="AH548" s="509"/>
    </row>
    <row r="549" spans="1:34" s="45" customFormat="1" ht="47.25" hidden="1">
      <c r="A549" s="588"/>
      <c r="B549" s="607"/>
      <c r="C549" s="167"/>
      <c r="D549" s="13" t="s">
        <v>1911</v>
      </c>
      <c r="E549" s="142"/>
      <c r="F549" s="143"/>
      <c r="G549" s="142"/>
      <c r="H549" s="417">
        <v>3132</v>
      </c>
      <c r="I549" s="144">
        <f>90618.2-90618.2</f>
        <v>0</v>
      </c>
      <c r="J549" s="144"/>
      <c r="K549" s="144"/>
      <c r="L549" s="470">
        <v>90618.2</v>
      </c>
      <c r="M549" s="144"/>
      <c r="N549" s="407"/>
      <c r="O549" s="407"/>
      <c r="P549" s="407"/>
      <c r="Q549" s="407"/>
      <c r="R549" s="407"/>
      <c r="S549" s="407"/>
      <c r="T549" s="407"/>
      <c r="U549" s="407"/>
      <c r="V549" s="407"/>
      <c r="W549" s="407"/>
      <c r="X549" s="407">
        <f>90618.2-90618.2</f>
        <v>0</v>
      </c>
      <c r="Y549" s="407"/>
      <c r="Z549" s="407"/>
      <c r="AA549" s="407">
        <f t="shared" si="73"/>
        <v>0</v>
      </c>
      <c r="AC549" s="499"/>
      <c r="AD549" s="513"/>
      <c r="AE549" s="508"/>
      <c r="AF549" s="508"/>
      <c r="AG549" s="508"/>
      <c r="AH549" s="508"/>
    </row>
    <row r="550" spans="1:34" s="45" customFormat="1" ht="31.5">
      <c r="A550" s="588"/>
      <c r="B550" s="607"/>
      <c r="C550" s="167"/>
      <c r="D550" s="13" t="s">
        <v>1234</v>
      </c>
      <c r="E550" s="142"/>
      <c r="F550" s="143"/>
      <c r="G550" s="142"/>
      <c r="H550" s="417">
        <v>3110</v>
      </c>
      <c r="I550" s="144">
        <v>92800</v>
      </c>
      <c r="J550" s="144"/>
      <c r="K550" s="144"/>
      <c r="L550" s="470"/>
      <c r="M550" s="144"/>
      <c r="N550" s="407"/>
      <c r="O550" s="407"/>
      <c r="P550" s="407"/>
      <c r="Q550" s="407"/>
      <c r="R550" s="407"/>
      <c r="S550" s="407"/>
      <c r="T550" s="407"/>
      <c r="U550" s="407"/>
      <c r="V550" s="407"/>
      <c r="W550" s="407">
        <v>92800</v>
      </c>
      <c r="X550" s="407">
        <f>92800-92800</f>
        <v>0</v>
      </c>
      <c r="Y550" s="407"/>
      <c r="Z550" s="407">
        <v>92800</v>
      </c>
      <c r="AA550" s="407">
        <f t="shared" si="73"/>
        <v>0</v>
      </c>
      <c r="AC550" s="499"/>
      <c r="AD550" s="513">
        <v>92800</v>
      </c>
      <c r="AE550" s="508"/>
      <c r="AF550" s="508"/>
      <c r="AG550" s="508"/>
      <c r="AH550" s="507" t="s">
        <v>1126</v>
      </c>
    </row>
    <row r="551" spans="1:34" s="45" customFormat="1" ht="47.25">
      <c r="A551" s="588"/>
      <c r="B551" s="607"/>
      <c r="C551" s="167"/>
      <c r="D551" s="13" t="s">
        <v>226</v>
      </c>
      <c r="E551" s="142"/>
      <c r="F551" s="143"/>
      <c r="G551" s="142"/>
      <c r="H551" s="417">
        <v>3132</v>
      </c>
      <c r="I551" s="144">
        <v>224422.76</v>
      </c>
      <c r="J551" s="144"/>
      <c r="K551" s="144"/>
      <c r="L551" s="470"/>
      <c r="M551" s="144"/>
      <c r="N551" s="407"/>
      <c r="O551" s="407"/>
      <c r="P551" s="407"/>
      <c r="Q551" s="407"/>
      <c r="R551" s="407"/>
      <c r="S551" s="407"/>
      <c r="T551" s="407"/>
      <c r="U551" s="407"/>
      <c r="V551" s="407"/>
      <c r="W551" s="407"/>
      <c r="X551" s="407">
        <v>187302.76</v>
      </c>
      <c r="Y551" s="407">
        <v>37120</v>
      </c>
      <c r="Z551" s="407"/>
      <c r="AA551" s="407">
        <f t="shared" si="73"/>
        <v>187302.76</v>
      </c>
      <c r="AC551" s="499"/>
      <c r="AD551" s="513"/>
      <c r="AE551" s="508"/>
      <c r="AF551" s="508"/>
      <c r="AG551" s="508"/>
      <c r="AH551" s="507"/>
    </row>
    <row r="552" spans="1:34" s="45" customFormat="1" ht="47.25">
      <c r="A552" s="570"/>
      <c r="B552" s="606"/>
      <c r="C552" s="167"/>
      <c r="D552" s="13" t="s">
        <v>112</v>
      </c>
      <c r="E552" s="142"/>
      <c r="F552" s="143"/>
      <c r="G552" s="142"/>
      <c r="H552" s="417">
        <v>3132</v>
      </c>
      <c r="I552" s="144">
        <f>28910-2832.37</f>
        <v>26077.63</v>
      </c>
      <c r="J552" s="144"/>
      <c r="K552" s="144"/>
      <c r="L552" s="470">
        <v>28910</v>
      </c>
      <c r="M552" s="144"/>
      <c r="N552" s="407"/>
      <c r="O552" s="407"/>
      <c r="P552" s="407"/>
      <c r="Q552" s="407">
        <f>5560-5560</f>
        <v>0</v>
      </c>
      <c r="R552" s="407">
        <f>12980+5560</f>
        <v>18540</v>
      </c>
      <c r="S552" s="407">
        <v>3120</v>
      </c>
      <c r="T552" s="407">
        <v>7250</v>
      </c>
      <c r="U552" s="407"/>
      <c r="V552" s="407"/>
      <c r="W552" s="407"/>
      <c r="X552" s="407">
        <v>-2832.37</v>
      </c>
      <c r="Y552" s="407"/>
      <c r="Z552" s="407">
        <f>396+8113+17568.63</f>
        <v>26077.63</v>
      </c>
      <c r="AA552" s="407">
        <f t="shared" si="73"/>
        <v>0</v>
      </c>
      <c r="AC552" s="499"/>
      <c r="AD552" s="513">
        <v>28910</v>
      </c>
      <c r="AE552" s="508">
        <v>25681.63</v>
      </c>
      <c r="AF552" s="507" t="s">
        <v>1135</v>
      </c>
      <c r="AG552" s="508"/>
      <c r="AH552" s="508" t="s">
        <v>1128</v>
      </c>
    </row>
    <row r="553" spans="1:62" s="54" customFormat="1" ht="15.75" customHeight="1">
      <c r="A553" s="587" t="s">
        <v>1207</v>
      </c>
      <c r="B553" s="605" t="s">
        <v>1390</v>
      </c>
      <c r="C553" s="195"/>
      <c r="D553" s="216" t="s">
        <v>1456</v>
      </c>
      <c r="E553" s="137"/>
      <c r="F553" s="159"/>
      <c r="G553" s="137"/>
      <c r="H553" s="416"/>
      <c r="I553" s="139">
        <f>I555+I562+I566+I575+I579+I584+I590+I591+I592+I598+I604+I605+I606+I607+I608+I609+I610+I611+I612+I618+I558+I617</f>
        <v>10710447.48</v>
      </c>
      <c r="J553" s="139">
        <f aca="true" t="shared" si="76" ref="J553:Z553">J555+J562+J566+J575+J579+J584+J590+J591+J592+J598+J604+J605+J606+J607+J608+J609+J610+J611+J612+J618+J558+J617</f>
        <v>0</v>
      </c>
      <c r="K553" s="139">
        <f t="shared" si="76"/>
        <v>0</v>
      </c>
      <c r="L553" s="139">
        <f t="shared" si="76"/>
        <v>11147347.81</v>
      </c>
      <c r="M553" s="139">
        <f t="shared" si="76"/>
        <v>0</v>
      </c>
      <c r="N553" s="139">
        <f t="shared" si="76"/>
        <v>0</v>
      </c>
      <c r="O553" s="139">
        <f t="shared" si="76"/>
        <v>4260907.24</v>
      </c>
      <c r="P553" s="139">
        <f t="shared" si="76"/>
        <v>0</v>
      </c>
      <c r="Q553" s="139">
        <f t="shared" si="76"/>
        <v>0</v>
      </c>
      <c r="R553" s="139">
        <f t="shared" si="76"/>
        <v>401730</v>
      </c>
      <c r="S553" s="139">
        <f t="shared" si="76"/>
        <v>1515418</v>
      </c>
      <c r="T553" s="139">
        <f t="shared" si="76"/>
        <v>1166220.57</v>
      </c>
      <c r="U553" s="139">
        <f t="shared" si="76"/>
        <v>997778</v>
      </c>
      <c r="V553" s="139">
        <f t="shared" si="76"/>
        <v>450000</v>
      </c>
      <c r="W553" s="139">
        <f t="shared" si="76"/>
        <v>823000</v>
      </c>
      <c r="X553" s="139">
        <f t="shared" si="76"/>
        <v>844781.67</v>
      </c>
      <c r="Y553" s="139">
        <f t="shared" si="76"/>
        <v>250612</v>
      </c>
      <c r="Z553" s="139">
        <f t="shared" si="76"/>
        <v>6083604.48</v>
      </c>
      <c r="AA553" s="407">
        <f t="shared" si="73"/>
        <v>4376231</v>
      </c>
      <c r="AB553" s="45"/>
      <c r="AC553" s="499"/>
      <c r="AD553" s="513"/>
      <c r="AE553" s="508"/>
      <c r="AF553" s="508"/>
      <c r="AG553" s="508"/>
      <c r="AH553" s="508"/>
      <c r="AI553" s="45"/>
      <c r="AJ553" s="45"/>
      <c r="AK553" s="45"/>
      <c r="AL553" s="45"/>
      <c r="AM553" s="45"/>
      <c r="AN553" s="45"/>
      <c r="AO553" s="45"/>
      <c r="AP553" s="45"/>
      <c r="AQ553" s="45"/>
      <c r="AR553" s="45"/>
      <c r="AS553" s="45"/>
      <c r="AT553" s="45"/>
      <c r="AU553" s="45"/>
      <c r="AV553" s="45"/>
      <c r="AW553" s="45"/>
      <c r="AX553" s="45"/>
      <c r="AY553" s="45"/>
      <c r="AZ553" s="45"/>
      <c r="BA553" s="45"/>
      <c r="BB553" s="45"/>
      <c r="BC553" s="45"/>
      <c r="BD553" s="45"/>
      <c r="BE553" s="45"/>
      <c r="BF553" s="45"/>
      <c r="BG553" s="45"/>
      <c r="BH553" s="45"/>
      <c r="BI553" s="45"/>
      <c r="BJ553" s="45"/>
    </row>
    <row r="554" spans="1:34" ht="31.5" customHeight="1" hidden="1">
      <c r="A554" s="588"/>
      <c r="B554" s="607"/>
      <c r="C554" s="135" t="s">
        <v>151</v>
      </c>
      <c r="D554" s="217" t="s">
        <v>164</v>
      </c>
      <c r="E554" s="142"/>
      <c r="F554" s="143"/>
      <c r="G554" s="142"/>
      <c r="H554" s="417"/>
      <c r="I554" s="144" t="e">
        <f>J554+K554+L554+M554+#REF!+#REF!</f>
        <v>#REF!</v>
      </c>
      <c r="J554" s="144"/>
      <c r="K554" s="144"/>
      <c r="L554" s="144"/>
      <c r="M554" s="144"/>
      <c r="N554" s="407"/>
      <c r="O554" s="407"/>
      <c r="P554" s="407"/>
      <c r="Q554" s="407"/>
      <c r="R554" s="407"/>
      <c r="S554" s="407"/>
      <c r="T554" s="407"/>
      <c r="U554" s="407"/>
      <c r="V554" s="407"/>
      <c r="W554" s="407"/>
      <c r="X554" s="407"/>
      <c r="Y554" s="407"/>
      <c r="Z554" s="407"/>
      <c r="AA554" s="407">
        <f t="shared" si="73"/>
        <v>0</v>
      </c>
      <c r="AC554" s="499"/>
      <c r="AD554" s="513"/>
      <c r="AE554" s="508"/>
      <c r="AF554" s="508"/>
      <c r="AG554" s="508"/>
      <c r="AH554" s="508"/>
    </row>
    <row r="555" spans="1:34" ht="47.25">
      <c r="A555" s="588"/>
      <c r="B555" s="607"/>
      <c r="C555" s="218" t="s">
        <v>165</v>
      </c>
      <c r="D555" s="217" t="s">
        <v>166</v>
      </c>
      <c r="E555" s="142"/>
      <c r="F555" s="143"/>
      <c r="G555" s="142"/>
      <c r="H555" s="417">
        <v>3110</v>
      </c>
      <c r="I555" s="144">
        <v>1500000</v>
      </c>
      <c r="J555" s="144"/>
      <c r="K555" s="144"/>
      <c r="L555" s="144">
        <v>1500000</v>
      </c>
      <c r="M555" s="144"/>
      <c r="N555" s="407"/>
      <c r="O555" s="144">
        <v>1500000</v>
      </c>
      <c r="P555" s="407"/>
      <c r="Q555" s="407"/>
      <c r="R555" s="407"/>
      <c r="S555" s="407"/>
      <c r="T555" s="407"/>
      <c r="U555" s="407"/>
      <c r="V555" s="407"/>
      <c r="W555" s="407"/>
      <c r="X555" s="407"/>
      <c r="Y555" s="407"/>
      <c r="Z555" s="144">
        <v>1500000</v>
      </c>
      <c r="AA555" s="407">
        <f t="shared" si="73"/>
        <v>0</v>
      </c>
      <c r="AC555" s="499"/>
      <c r="AD555" s="513">
        <v>1500000</v>
      </c>
      <c r="AE555" s="508">
        <v>1500000</v>
      </c>
      <c r="AF555" s="507" t="s">
        <v>1136</v>
      </c>
      <c r="AG555" s="508"/>
      <c r="AH555" s="508"/>
    </row>
    <row r="556" spans="1:34" ht="31.5" customHeight="1" hidden="1">
      <c r="A556" s="588"/>
      <c r="B556" s="607"/>
      <c r="C556" s="218" t="s">
        <v>167</v>
      </c>
      <c r="D556" s="217" t="s">
        <v>1205</v>
      </c>
      <c r="E556" s="142"/>
      <c r="F556" s="143"/>
      <c r="G556" s="142"/>
      <c r="H556" s="417"/>
      <c r="I556" s="144">
        <v>0</v>
      </c>
      <c r="J556" s="144"/>
      <c r="K556" s="144"/>
      <c r="L556" s="144"/>
      <c r="M556" s="144"/>
      <c r="N556" s="407"/>
      <c r="O556" s="144">
        <v>0</v>
      </c>
      <c r="P556" s="407"/>
      <c r="Q556" s="407"/>
      <c r="R556" s="407"/>
      <c r="S556" s="407"/>
      <c r="T556" s="407"/>
      <c r="U556" s="407"/>
      <c r="V556" s="407"/>
      <c r="W556" s="407"/>
      <c r="X556" s="407"/>
      <c r="Y556" s="407"/>
      <c r="Z556" s="144">
        <v>0</v>
      </c>
      <c r="AA556" s="407">
        <f t="shared" si="73"/>
        <v>0</v>
      </c>
      <c r="AC556" s="499"/>
      <c r="AD556" s="513"/>
      <c r="AE556" s="508"/>
      <c r="AF556" s="508"/>
      <c r="AG556" s="508"/>
      <c r="AH556" s="508"/>
    </row>
    <row r="557" spans="1:34" ht="31.5" customHeight="1" hidden="1">
      <c r="A557" s="588"/>
      <c r="B557" s="607"/>
      <c r="C557" s="218" t="s">
        <v>815</v>
      </c>
      <c r="D557" s="217" t="s">
        <v>2101</v>
      </c>
      <c r="E557" s="142"/>
      <c r="F557" s="143"/>
      <c r="G557" s="142"/>
      <c r="H557" s="417"/>
      <c r="I557" s="144">
        <v>0</v>
      </c>
      <c r="J557" s="144"/>
      <c r="K557" s="144"/>
      <c r="L557" s="144"/>
      <c r="M557" s="144"/>
      <c r="N557" s="407"/>
      <c r="O557" s="144">
        <v>0</v>
      </c>
      <c r="P557" s="407"/>
      <c r="Q557" s="407"/>
      <c r="R557" s="407"/>
      <c r="S557" s="407"/>
      <c r="T557" s="407"/>
      <c r="U557" s="407"/>
      <c r="V557" s="407"/>
      <c r="W557" s="407"/>
      <c r="X557" s="407"/>
      <c r="Y557" s="407"/>
      <c r="Z557" s="144">
        <v>0</v>
      </c>
      <c r="AA557" s="407">
        <f t="shared" si="73"/>
        <v>0</v>
      </c>
      <c r="AC557" s="499"/>
      <c r="AD557" s="513"/>
      <c r="AE557" s="508"/>
      <c r="AF557" s="508"/>
      <c r="AG557" s="508"/>
      <c r="AH557" s="508"/>
    </row>
    <row r="558" spans="1:34" ht="31.5" customHeight="1">
      <c r="A558" s="588"/>
      <c r="B558" s="607"/>
      <c r="C558" s="218"/>
      <c r="D558" s="217" t="s">
        <v>1235</v>
      </c>
      <c r="E558" s="142"/>
      <c r="F558" s="143"/>
      <c r="G558" s="142"/>
      <c r="H558" s="417"/>
      <c r="I558" s="144">
        <f>SUM(I559:I561)</f>
        <v>21000</v>
      </c>
      <c r="J558" s="144">
        <f aca="true" t="shared" si="77" ref="J558:Z558">SUM(J559:J561)</f>
        <v>0</v>
      </c>
      <c r="K558" s="144">
        <f t="shared" si="77"/>
        <v>0</v>
      </c>
      <c r="L558" s="144">
        <f t="shared" si="77"/>
        <v>0</v>
      </c>
      <c r="M558" s="144">
        <f t="shared" si="77"/>
        <v>0</v>
      </c>
      <c r="N558" s="144">
        <f t="shared" si="77"/>
        <v>0</v>
      </c>
      <c r="O558" s="144">
        <f t="shared" si="77"/>
        <v>0</v>
      </c>
      <c r="P558" s="144">
        <f t="shared" si="77"/>
        <v>0</v>
      </c>
      <c r="Q558" s="144">
        <f t="shared" si="77"/>
        <v>0</v>
      </c>
      <c r="R558" s="144">
        <f t="shared" si="77"/>
        <v>0</v>
      </c>
      <c r="S558" s="144">
        <f t="shared" si="77"/>
        <v>0</v>
      </c>
      <c r="T558" s="144">
        <f t="shared" si="77"/>
        <v>0</v>
      </c>
      <c r="U558" s="144">
        <f t="shared" si="77"/>
        <v>0</v>
      </c>
      <c r="V558" s="144">
        <f t="shared" si="77"/>
        <v>0</v>
      </c>
      <c r="W558" s="144">
        <f t="shared" si="77"/>
        <v>0</v>
      </c>
      <c r="X558" s="144">
        <f t="shared" si="77"/>
        <v>21000</v>
      </c>
      <c r="Y558" s="144">
        <f t="shared" si="77"/>
        <v>0</v>
      </c>
      <c r="Z558" s="144">
        <f t="shared" si="77"/>
        <v>0</v>
      </c>
      <c r="AA558" s="407">
        <f t="shared" si="73"/>
        <v>21000</v>
      </c>
      <c r="AC558" s="499"/>
      <c r="AD558" s="513"/>
      <c r="AE558" s="508"/>
      <c r="AF558" s="508"/>
      <c r="AG558" s="508"/>
      <c r="AH558" s="508"/>
    </row>
    <row r="559" spans="1:34" ht="31.5" customHeight="1">
      <c r="A559" s="588"/>
      <c r="B559" s="607"/>
      <c r="C559" s="218"/>
      <c r="D559" s="251" t="s">
        <v>1918</v>
      </c>
      <c r="E559" s="142"/>
      <c r="F559" s="143"/>
      <c r="G559" s="142"/>
      <c r="H559" s="417">
        <v>3110</v>
      </c>
      <c r="I559" s="144">
        <v>7000</v>
      </c>
      <c r="J559" s="144"/>
      <c r="K559" s="144"/>
      <c r="L559" s="144"/>
      <c r="M559" s="144"/>
      <c r="N559" s="407"/>
      <c r="O559" s="144"/>
      <c r="P559" s="407"/>
      <c r="Q559" s="407"/>
      <c r="R559" s="407"/>
      <c r="S559" s="407"/>
      <c r="T559" s="407"/>
      <c r="U559" s="407"/>
      <c r="V559" s="407"/>
      <c r="W559" s="407"/>
      <c r="X559" s="407">
        <v>7000</v>
      </c>
      <c r="Y559" s="407"/>
      <c r="Z559" s="144"/>
      <c r="AA559" s="407">
        <f t="shared" si="73"/>
        <v>7000</v>
      </c>
      <c r="AC559" s="499"/>
      <c r="AD559" s="513">
        <v>7000</v>
      </c>
      <c r="AE559" s="508"/>
      <c r="AF559" s="508"/>
      <c r="AG559" s="508"/>
      <c r="AH559" s="641" t="s">
        <v>1126</v>
      </c>
    </row>
    <row r="560" spans="1:34" ht="31.5" customHeight="1">
      <c r="A560" s="588"/>
      <c r="B560" s="607"/>
      <c r="C560" s="218"/>
      <c r="D560" s="251" t="s">
        <v>113</v>
      </c>
      <c r="E560" s="142"/>
      <c r="F560" s="143"/>
      <c r="G560" s="142"/>
      <c r="H560" s="417">
        <v>3110</v>
      </c>
      <c r="I560" s="144">
        <v>7000</v>
      </c>
      <c r="J560" s="144"/>
      <c r="K560" s="144"/>
      <c r="L560" s="144"/>
      <c r="M560" s="144"/>
      <c r="N560" s="407"/>
      <c r="O560" s="144"/>
      <c r="P560" s="407"/>
      <c r="Q560" s="407"/>
      <c r="R560" s="407"/>
      <c r="S560" s="407"/>
      <c r="T560" s="407"/>
      <c r="U560" s="407"/>
      <c r="V560" s="407"/>
      <c r="W560" s="407"/>
      <c r="X560" s="407">
        <v>7000</v>
      </c>
      <c r="Y560" s="407"/>
      <c r="Z560" s="144"/>
      <c r="AA560" s="407">
        <f t="shared" si="73"/>
        <v>7000</v>
      </c>
      <c r="AC560" s="499"/>
      <c r="AD560" s="513">
        <v>7000</v>
      </c>
      <c r="AE560" s="508"/>
      <c r="AF560" s="508"/>
      <c r="AG560" s="508"/>
      <c r="AH560" s="684"/>
    </row>
    <row r="561" spans="1:34" ht="31.5" customHeight="1">
      <c r="A561" s="588"/>
      <c r="B561" s="607"/>
      <c r="C561" s="218"/>
      <c r="D561" s="251" t="s">
        <v>1383</v>
      </c>
      <c r="E561" s="142"/>
      <c r="F561" s="143"/>
      <c r="G561" s="142"/>
      <c r="H561" s="417">
        <v>3110</v>
      </c>
      <c r="I561" s="144">
        <v>7000</v>
      </c>
      <c r="J561" s="144"/>
      <c r="K561" s="144"/>
      <c r="L561" s="144"/>
      <c r="M561" s="144"/>
      <c r="N561" s="407"/>
      <c r="O561" s="144"/>
      <c r="P561" s="407"/>
      <c r="Q561" s="407"/>
      <c r="R561" s="407"/>
      <c r="S561" s="407"/>
      <c r="T561" s="407"/>
      <c r="U561" s="407"/>
      <c r="V561" s="407"/>
      <c r="W561" s="407"/>
      <c r="X561" s="407">
        <v>7000</v>
      </c>
      <c r="Y561" s="407"/>
      <c r="Z561" s="144"/>
      <c r="AA561" s="407">
        <f t="shared" si="73"/>
        <v>7000</v>
      </c>
      <c r="AC561" s="499"/>
      <c r="AD561" s="513">
        <v>7000</v>
      </c>
      <c r="AE561" s="508"/>
      <c r="AF561" s="508"/>
      <c r="AG561" s="508"/>
      <c r="AH561" s="685"/>
    </row>
    <row r="562" spans="1:34" ht="47.25">
      <c r="A562" s="588"/>
      <c r="B562" s="607"/>
      <c r="C562" s="218" t="s">
        <v>2102</v>
      </c>
      <c r="D562" s="217" t="s">
        <v>1122</v>
      </c>
      <c r="E562" s="142"/>
      <c r="F562" s="143"/>
      <c r="G562" s="142"/>
      <c r="H562" s="417">
        <v>3210</v>
      </c>
      <c r="I562" s="144">
        <v>56439</v>
      </c>
      <c r="J562" s="144"/>
      <c r="K562" s="144"/>
      <c r="L562" s="144">
        <v>56439</v>
      </c>
      <c r="M562" s="144"/>
      <c r="N562" s="407"/>
      <c r="O562" s="144">
        <v>56439</v>
      </c>
      <c r="P562" s="407"/>
      <c r="Q562" s="407"/>
      <c r="R562" s="407"/>
      <c r="S562" s="407"/>
      <c r="T562" s="407"/>
      <c r="U562" s="407"/>
      <c r="V562" s="407"/>
      <c r="W562" s="407"/>
      <c r="X562" s="407"/>
      <c r="Y562" s="407"/>
      <c r="Z562" s="144">
        <v>56439</v>
      </c>
      <c r="AA562" s="407">
        <f t="shared" si="73"/>
        <v>0</v>
      </c>
      <c r="AC562" s="499"/>
      <c r="AD562" s="513">
        <v>56439</v>
      </c>
      <c r="AE562" s="508">
        <v>56439</v>
      </c>
      <c r="AF562" s="507" t="s">
        <v>62</v>
      </c>
      <c r="AG562" s="508"/>
      <c r="AH562" s="508"/>
    </row>
    <row r="563" spans="1:34" ht="31.5" customHeight="1" hidden="1">
      <c r="A563" s="588"/>
      <c r="B563" s="607"/>
      <c r="C563" s="218" t="s">
        <v>1405</v>
      </c>
      <c r="D563" s="217" t="s">
        <v>1406</v>
      </c>
      <c r="E563" s="142"/>
      <c r="F563" s="143"/>
      <c r="G563" s="142"/>
      <c r="H563" s="417"/>
      <c r="I563" s="144">
        <v>0</v>
      </c>
      <c r="J563" s="144"/>
      <c r="K563" s="144"/>
      <c r="L563" s="144"/>
      <c r="M563" s="144"/>
      <c r="N563" s="407"/>
      <c r="O563" s="144">
        <v>0</v>
      </c>
      <c r="P563" s="407"/>
      <c r="Q563" s="407"/>
      <c r="R563" s="407"/>
      <c r="S563" s="407"/>
      <c r="T563" s="407"/>
      <c r="U563" s="407"/>
      <c r="V563" s="407"/>
      <c r="W563" s="407"/>
      <c r="X563" s="407"/>
      <c r="Y563" s="407"/>
      <c r="Z563" s="144">
        <v>0</v>
      </c>
      <c r="AA563" s="407">
        <f t="shared" si="73"/>
        <v>0</v>
      </c>
      <c r="AC563" s="499"/>
      <c r="AD563" s="513"/>
      <c r="AE563" s="508"/>
      <c r="AF563" s="508"/>
      <c r="AG563" s="508"/>
      <c r="AH563" s="508"/>
    </row>
    <row r="564" spans="1:34" ht="31.5" customHeight="1" hidden="1">
      <c r="A564" s="588"/>
      <c r="B564" s="607"/>
      <c r="C564" s="218" t="s">
        <v>1407</v>
      </c>
      <c r="D564" s="217" t="s">
        <v>1408</v>
      </c>
      <c r="E564" s="142">
        <v>70</v>
      </c>
      <c r="F564" s="143">
        <f>100%-((E564-G564)/E564)</f>
        <v>1</v>
      </c>
      <c r="G564" s="142">
        <v>70</v>
      </c>
      <c r="H564" s="417"/>
      <c r="I564" s="144">
        <v>0</v>
      </c>
      <c r="J564" s="144"/>
      <c r="K564" s="144"/>
      <c r="L564" s="144"/>
      <c r="M564" s="144"/>
      <c r="N564" s="407"/>
      <c r="O564" s="144">
        <v>0</v>
      </c>
      <c r="P564" s="407"/>
      <c r="Q564" s="407"/>
      <c r="R564" s="407"/>
      <c r="S564" s="407"/>
      <c r="T564" s="407"/>
      <c r="U564" s="407"/>
      <c r="V564" s="407"/>
      <c r="W564" s="407"/>
      <c r="X564" s="407"/>
      <c r="Y564" s="407"/>
      <c r="Z564" s="144">
        <v>0</v>
      </c>
      <c r="AA564" s="407">
        <f t="shared" si="73"/>
        <v>0</v>
      </c>
      <c r="AC564" s="499"/>
      <c r="AD564" s="513"/>
      <c r="AE564" s="508"/>
      <c r="AF564" s="508"/>
      <c r="AG564" s="508"/>
      <c r="AH564" s="508"/>
    </row>
    <row r="565" spans="1:34" ht="47.25" customHeight="1" hidden="1">
      <c r="A565" s="588"/>
      <c r="B565" s="607"/>
      <c r="C565" s="167" t="s">
        <v>1409</v>
      </c>
      <c r="D565" s="217" t="s">
        <v>517</v>
      </c>
      <c r="E565" s="142">
        <v>926</v>
      </c>
      <c r="F565" s="143">
        <f>100%-((E565-G565)/E565)</f>
        <v>1</v>
      </c>
      <c r="G565" s="142">
        <v>926</v>
      </c>
      <c r="H565" s="417"/>
      <c r="I565" s="144">
        <v>0</v>
      </c>
      <c r="J565" s="144"/>
      <c r="K565" s="144"/>
      <c r="L565" s="144"/>
      <c r="M565" s="144"/>
      <c r="N565" s="407"/>
      <c r="O565" s="144">
        <v>0</v>
      </c>
      <c r="P565" s="407"/>
      <c r="Q565" s="407"/>
      <c r="R565" s="407"/>
      <c r="S565" s="407"/>
      <c r="T565" s="407"/>
      <c r="U565" s="407"/>
      <c r="V565" s="407"/>
      <c r="W565" s="407"/>
      <c r="X565" s="407"/>
      <c r="Y565" s="407"/>
      <c r="Z565" s="144">
        <v>0</v>
      </c>
      <c r="AA565" s="407">
        <f t="shared" si="73"/>
        <v>0</v>
      </c>
      <c r="AC565" s="499"/>
      <c r="AD565" s="513"/>
      <c r="AE565" s="508"/>
      <c r="AF565" s="508"/>
      <c r="AG565" s="508"/>
      <c r="AH565" s="508"/>
    </row>
    <row r="566" spans="1:34" ht="47.25">
      <c r="A566" s="588"/>
      <c r="B566" s="607"/>
      <c r="C566" s="167" t="s">
        <v>518</v>
      </c>
      <c r="D566" s="217" t="s">
        <v>519</v>
      </c>
      <c r="E566" s="142"/>
      <c r="F566" s="143"/>
      <c r="G566" s="142"/>
      <c r="H566" s="417">
        <v>3110</v>
      </c>
      <c r="I566" s="144">
        <v>129478</v>
      </c>
      <c r="J566" s="144"/>
      <c r="K566" s="144"/>
      <c r="L566" s="144">
        <v>129478</v>
      </c>
      <c r="M566" s="144"/>
      <c r="N566" s="407"/>
      <c r="O566" s="144">
        <v>129478</v>
      </c>
      <c r="P566" s="407"/>
      <c r="Q566" s="407"/>
      <c r="R566" s="407"/>
      <c r="S566" s="407"/>
      <c r="T566" s="407"/>
      <c r="U566" s="407"/>
      <c r="V566" s="407"/>
      <c r="W566" s="407"/>
      <c r="X566" s="407"/>
      <c r="Y566" s="407"/>
      <c r="Z566" s="144">
        <v>129478</v>
      </c>
      <c r="AA566" s="407">
        <f t="shared" si="73"/>
        <v>0</v>
      </c>
      <c r="AC566" s="499"/>
      <c r="AD566" s="513">
        <v>129478</v>
      </c>
      <c r="AE566" s="508">
        <v>129478</v>
      </c>
      <c r="AF566" s="507" t="s">
        <v>1513</v>
      </c>
      <c r="AG566" s="508"/>
      <c r="AH566" s="508"/>
    </row>
    <row r="567" spans="1:34" ht="31.5" customHeight="1" hidden="1">
      <c r="A567" s="588"/>
      <c r="B567" s="607"/>
      <c r="C567" s="167" t="s">
        <v>14</v>
      </c>
      <c r="D567" s="217" t="s">
        <v>1137</v>
      </c>
      <c r="E567" s="142"/>
      <c r="F567" s="143"/>
      <c r="G567" s="142"/>
      <c r="H567" s="417"/>
      <c r="I567" s="144">
        <v>0</v>
      </c>
      <c r="J567" s="144"/>
      <c r="K567" s="144"/>
      <c r="L567" s="144"/>
      <c r="M567" s="144"/>
      <c r="N567" s="407"/>
      <c r="O567" s="144">
        <v>0</v>
      </c>
      <c r="P567" s="407"/>
      <c r="Q567" s="407"/>
      <c r="R567" s="407"/>
      <c r="S567" s="407"/>
      <c r="T567" s="407"/>
      <c r="U567" s="407"/>
      <c r="V567" s="407"/>
      <c r="W567" s="407"/>
      <c r="X567" s="407"/>
      <c r="Y567" s="407"/>
      <c r="Z567" s="144">
        <v>0</v>
      </c>
      <c r="AA567" s="407">
        <f t="shared" si="73"/>
        <v>0</v>
      </c>
      <c r="AC567" s="499"/>
      <c r="AD567" s="513"/>
      <c r="AE567" s="508"/>
      <c r="AF567" s="508"/>
      <c r="AG567" s="508"/>
      <c r="AH567" s="508"/>
    </row>
    <row r="568" spans="1:34" ht="31.5" customHeight="1" hidden="1">
      <c r="A568" s="588"/>
      <c r="B568" s="607"/>
      <c r="C568" s="167" t="s">
        <v>1138</v>
      </c>
      <c r="D568" s="217" t="s">
        <v>1139</v>
      </c>
      <c r="E568" s="142">
        <v>403.36</v>
      </c>
      <c r="F568" s="143">
        <f>100%-((E568-G568)/E568)</f>
        <v>0.241</v>
      </c>
      <c r="G568" s="142">
        <v>97.2</v>
      </c>
      <c r="H568" s="417"/>
      <c r="I568" s="144">
        <v>0</v>
      </c>
      <c r="J568" s="144"/>
      <c r="K568" s="144"/>
      <c r="L568" s="144"/>
      <c r="M568" s="144"/>
      <c r="N568" s="407"/>
      <c r="O568" s="144">
        <v>0</v>
      </c>
      <c r="P568" s="407"/>
      <c r="Q568" s="407"/>
      <c r="R568" s="407"/>
      <c r="S568" s="407"/>
      <c r="T568" s="407"/>
      <c r="U568" s="407"/>
      <c r="V568" s="407"/>
      <c r="W568" s="407"/>
      <c r="X568" s="407"/>
      <c r="Y568" s="407"/>
      <c r="Z568" s="144">
        <v>0</v>
      </c>
      <c r="AA568" s="407">
        <f t="shared" si="73"/>
        <v>0</v>
      </c>
      <c r="AC568" s="499"/>
      <c r="AD568" s="513"/>
      <c r="AE568" s="508"/>
      <c r="AF568" s="508"/>
      <c r="AG568" s="508"/>
      <c r="AH568" s="508"/>
    </row>
    <row r="569" spans="1:34" ht="31.5" customHeight="1" hidden="1">
      <c r="A569" s="588"/>
      <c r="B569" s="607"/>
      <c r="C569" s="167" t="s">
        <v>1140</v>
      </c>
      <c r="D569" s="217" t="s">
        <v>1141</v>
      </c>
      <c r="E569" s="142"/>
      <c r="F569" s="143"/>
      <c r="G569" s="142"/>
      <c r="H569" s="417"/>
      <c r="I569" s="144">
        <v>0</v>
      </c>
      <c r="J569" s="144"/>
      <c r="K569" s="144"/>
      <c r="L569" s="144"/>
      <c r="M569" s="144"/>
      <c r="N569" s="407"/>
      <c r="O569" s="144">
        <v>0</v>
      </c>
      <c r="P569" s="407"/>
      <c r="Q569" s="407"/>
      <c r="R569" s="407"/>
      <c r="S569" s="407"/>
      <c r="T569" s="407"/>
      <c r="U569" s="407"/>
      <c r="V569" s="407"/>
      <c r="W569" s="407"/>
      <c r="X569" s="407"/>
      <c r="Y569" s="407"/>
      <c r="Z569" s="144">
        <v>0</v>
      </c>
      <c r="AA569" s="407">
        <f t="shared" si="73"/>
        <v>0</v>
      </c>
      <c r="AC569" s="499"/>
      <c r="AD569" s="513"/>
      <c r="AE569" s="508"/>
      <c r="AF569" s="508"/>
      <c r="AG569" s="508"/>
      <c r="AH569" s="508"/>
    </row>
    <row r="570" spans="1:34" ht="15.75" customHeight="1" hidden="1">
      <c r="A570" s="588"/>
      <c r="B570" s="607"/>
      <c r="C570" s="614" t="s">
        <v>1142</v>
      </c>
      <c r="D570" s="141" t="s">
        <v>2048</v>
      </c>
      <c r="E570" s="142"/>
      <c r="F570" s="143"/>
      <c r="G570" s="142"/>
      <c r="H570" s="417"/>
      <c r="I570" s="144">
        <v>0</v>
      </c>
      <c r="J570" s="144">
        <f>J571+J572</f>
        <v>0</v>
      </c>
      <c r="K570" s="144">
        <f>K571+K572</f>
        <v>0</v>
      </c>
      <c r="L570" s="144">
        <f>L571+L572</f>
        <v>0</v>
      </c>
      <c r="M570" s="144">
        <f>M571+M572</f>
        <v>0</v>
      </c>
      <c r="N570" s="407"/>
      <c r="O570" s="144">
        <v>0</v>
      </c>
      <c r="P570" s="407"/>
      <c r="Q570" s="407"/>
      <c r="R570" s="407"/>
      <c r="S570" s="407"/>
      <c r="T570" s="407"/>
      <c r="U570" s="407"/>
      <c r="V570" s="407"/>
      <c r="W570" s="407"/>
      <c r="X570" s="407"/>
      <c r="Y570" s="407"/>
      <c r="Z570" s="144">
        <v>0</v>
      </c>
      <c r="AA570" s="407">
        <f t="shared" si="73"/>
        <v>0</v>
      </c>
      <c r="AC570" s="499"/>
      <c r="AD570" s="513"/>
      <c r="AE570" s="508"/>
      <c r="AF570" s="508"/>
      <c r="AG570" s="508"/>
      <c r="AH570" s="508"/>
    </row>
    <row r="571" spans="1:34" ht="15.75" customHeight="1" hidden="1">
      <c r="A571" s="588"/>
      <c r="B571" s="607"/>
      <c r="C571" s="615"/>
      <c r="D571" s="198" t="s">
        <v>2049</v>
      </c>
      <c r="E571" s="199"/>
      <c r="F571" s="143"/>
      <c r="G571" s="199"/>
      <c r="H571" s="423"/>
      <c r="I571" s="201">
        <v>0</v>
      </c>
      <c r="J571" s="201"/>
      <c r="K571" s="201"/>
      <c r="L571" s="201"/>
      <c r="M571" s="201"/>
      <c r="N571" s="407"/>
      <c r="O571" s="201">
        <v>0</v>
      </c>
      <c r="P571" s="407"/>
      <c r="Q571" s="407"/>
      <c r="R571" s="407"/>
      <c r="S571" s="407"/>
      <c r="T571" s="407"/>
      <c r="U571" s="407"/>
      <c r="V571" s="407"/>
      <c r="W571" s="407"/>
      <c r="X571" s="407"/>
      <c r="Y571" s="407"/>
      <c r="Z571" s="201">
        <v>0</v>
      </c>
      <c r="AA571" s="407">
        <f t="shared" si="73"/>
        <v>0</v>
      </c>
      <c r="AC571" s="499"/>
      <c r="AD571" s="513"/>
      <c r="AE571" s="508"/>
      <c r="AF571" s="508"/>
      <c r="AG571" s="508"/>
      <c r="AH571" s="508"/>
    </row>
    <row r="572" spans="1:34" ht="15.75" customHeight="1" hidden="1">
      <c r="A572" s="588"/>
      <c r="B572" s="607"/>
      <c r="C572" s="616"/>
      <c r="D572" s="198" t="s">
        <v>1573</v>
      </c>
      <c r="E572" s="199"/>
      <c r="F572" s="143"/>
      <c r="G572" s="199"/>
      <c r="H572" s="423"/>
      <c r="I572" s="201">
        <v>0</v>
      </c>
      <c r="J572" s="201"/>
      <c r="K572" s="201"/>
      <c r="L572" s="201"/>
      <c r="M572" s="201"/>
      <c r="N572" s="407"/>
      <c r="O572" s="201">
        <v>0</v>
      </c>
      <c r="P572" s="407"/>
      <c r="Q572" s="407"/>
      <c r="R572" s="407"/>
      <c r="S572" s="407"/>
      <c r="T572" s="407"/>
      <c r="U572" s="407"/>
      <c r="V572" s="407"/>
      <c r="W572" s="407"/>
      <c r="X572" s="407"/>
      <c r="Y572" s="407"/>
      <c r="Z572" s="201">
        <v>0</v>
      </c>
      <c r="AA572" s="407">
        <f t="shared" si="73"/>
        <v>0</v>
      </c>
      <c r="AC572" s="499"/>
      <c r="AD572" s="513"/>
      <c r="AE572" s="508"/>
      <c r="AF572" s="508"/>
      <c r="AG572" s="508"/>
      <c r="AH572" s="508"/>
    </row>
    <row r="573" spans="1:34" ht="31.5" customHeight="1" hidden="1">
      <c r="A573" s="588"/>
      <c r="B573" s="607"/>
      <c r="C573" s="167" t="s">
        <v>1574</v>
      </c>
      <c r="D573" s="141" t="s">
        <v>2064</v>
      </c>
      <c r="E573" s="142"/>
      <c r="F573" s="143"/>
      <c r="G573" s="142"/>
      <c r="H573" s="417"/>
      <c r="I573" s="144">
        <v>0</v>
      </c>
      <c r="J573" s="144"/>
      <c r="K573" s="144"/>
      <c r="L573" s="144"/>
      <c r="M573" s="144"/>
      <c r="N573" s="407"/>
      <c r="O573" s="144">
        <v>0</v>
      </c>
      <c r="P573" s="407"/>
      <c r="Q573" s="407"/>
      <c r="R573" s="407"/>
      <c r="S573" s="407"/>
      <c r="T573" s="407"/>
      <c r="U573" s="407"/>
      <c r="V573" s="407"/>
      <c r="W573" s="407"/>
      <c r="X573" s="407"/>
      <c r="Y573" s="407"/>
      <c r="Z573" s="144">
        <v>0</v>
      </c>
      <c r="AA573" s="407">
        <f t="shared" si="73"/>
        <v>0</v>
      </c>
      <c r="AC573" s="499"/>
      <c r="AD573" s="513"/>
      <c r="AE573" s="508"/>
      <c r="AF573" s="508"/>
      <c r="AG573" s="508"/>
      <c r="AH573" s="508"/>
    </row>
    <row r="574" spans="1:34" ht="47.25" customHeight="1" hidden="1">
      <c r="A574" s="588"/>
      <c r="B574" s="607"/>
      <c r="C574" s="167" t="s">
        <v>2065</v>
      </c>
      <c r="D574" s="217" t="s">
        <v>764</v>
      </c>
      <c r="E574" s="142">
        <v>3325.84</v>
      </c>
      <c r="F574" s="143">
        <f>100%-((E574-G574)/E574)</f>
        <v>0.925</v>
      </c>
      <c r="G574" s="142">
        <v>3075.24</v>
      </c>
      <c r="H574" s="417"/>
      <c r="I574" s="144">
        <v>0</v>
      </c>
      <c r="J574" s="144"/>
      <c r="K574" s="144"/>
      <c r="L574" s="144"/>
      <c r="M574" s="144"/>
      <c r="N574" s="407"/>
      <c r="O574" s="144">
        <v>0</v>
      </c>
      <c r="P574" s="407"/>
      <c r="Q574" s="407"/>
      <c r="R574" s="407"/>
      <c r="S574" s="407"/>
      <c r="T574" s="407"/>
      <c r="U574" s="407"/>
      <c r="V574" s="407"/>
      <c r="W574" s="407"/>
      <c r="X574" s="407"/>
      <c r="Y574" s="407"/>
      <c r="Z574" s="144">
        <v>0</v>
      </c>
      <c r="AA574" s="407">
        <f t="shared" si="73"/>
        <v>0</v>
      </c>
      <c r="AC574" s="499"/>
      <c r="AD574" s="513"/>
      <c r="AE574" s="508"/>
      <c r="AF574" s="508"/>
      <c r="AG574" s="508"/>
      <c r="AH574" s="508"/>
    </row>
    <row r="575" spans="1:34" ht="31.5" hidden="1">
      <c r="A575" s="588"/>
      <c r="B575" s="607"/>
      <c r="C575" s="614" t="s">
        <v>765</v>
      </c>
      <c r="D575" s="217" t="s">
        <v>766</v>
      </c>
      <c r="E575" s="142"/>
      <c r="F575" s="143"/>
      <c r="G575" s="142"/>
      <c r="H575" s="417"/>
      <c r="I575" s="144">
        <f>I576+I577+I578</f>
        <v>0</v>
      </c>
      <c r="J575" s="144">
        <f>J576+J577+J578</f>
        <v>0</v>
      </c>
      <c r="K575" s="144">
        <f>K576+K577+K578</f>
        <v>0</v>
      </c>
      <c r="L575" s="144">
        <f>L576+L577+L578</f>
        <v>185562</v>
      </c>
      <c r="M575" s="144">
        <f>M576+M577+M578</f>
        <v>0</v>
      </c>
      <c r="N575" s="407"/>
      <c r="O575" s="144">
        <f aca="true" t="shared" si="78" ref="O575:U575">O576+O577+O578</f>
        <v>185562</v>
      </c>
      <c r="P575" s="144">
        <f t="shared" si="78"/>
        <v>0</v>
      </c>
      <c r="Q575" s="144">
        <f t="shared" si="78"/>
        <v>0</v>
      </c>
      <c r="R575" s="144">
        <f t="shared" si="78"/>
        <v>-155123.24</v>
      </c>
      <c r="S575" s="144">
        <f t="shared" si="78"/>
        <v>154271.24</v>
      </c>
      <c r="T575" s="144">
        <f t="shared" si="78"/>
        <v>852</v>
      </c>
      <c r="U575" s="144">
        <f t="shared" si="78"/>
        <v>-185562</v>
      </c>
      <c r="V575" s="407"/>
      <c r="W575" s="407"/>
      <c r="X575" s="407"/>
      <c r="Y575" s="407"/>
      <c r="Z575" s="144">
        <f>Z576+Z577+Z578</f>
        <v>0</v>
      </c>
      <c r="AA575" s="407">
        <f t="shared" si="73"/>
        <v>0</v>
      </c>
      <c r="AC575" s="499"/>
      <c r="AD575" s="513"/>
      <c r="AE575" s="508"/>
      <c r="AF575" s="508"/>
      <c r="AG575" s="508"/>
      <c r="AH575" s="508"/>
    </row>
    <row r="576" spans="1:34" ht="31.5" hidden="1">
      <c r="A576" s="588"/>
      <c r="B576" s="607"/>
      <c r="C576" s="615"/>
      <c r="D576" s="60" t="s">
        <v>767</v>
      </c>
      <c r="E576" s="199"/>
      <c r="F576" s="143"/>
      <c r="G576" s="199"/>
      <c r="H576" s="417">
        <v>3110</v>
      </c>
      <c r="I576" s="201">
        <f>88320-88320</f>
        <v>0</v>
      </c>
      <c r="J576" s="201"/>
      <c r="K576" s="201"/>
      <c r="L576" s="201">
        <v>88320</v>
      </c>
      <c r="M576" s="144"/>
      <c r="N576" s="407"/>
      <c r="O576" s="201">
        <v>88320</v>
      </c>
      <c r="P576" s="407"/>
      <c r="Q576" s="407"/>
      <c r="R576" s="407">
        <v>-57881.24</v>
      </c>
      <c r="S576" s="407">
        <v>57881.24</v>
      </c>
      <c r="T576" s="407"/>
      <c r="U576" s="407">
        <v>-88320</v>
      </c>
      <c r="V576" s="407"/>
      <c r="W576" s="407"/>
      <c r="X576" s="407"/>
      <c r="Y576" s="407"/>
      <c r="Z576" s="201"/>
      <c r="AA576" s="407">
        <f t="shared" si="73"/>
        <v>0</v>
      </c>
      <c r="AC576" s="499"/>
      <c r="AD576" s="513"/>
      <c r="AE576" s="508"/>
      <c r="AF576" s="508"/>
      <c r="AG576" s="508"/>
      <c r="AH576" s="508"/>
    </row>
    <row r="577" spans="1:34" ht="15.75" hidden="1">
      <c r="A577" s="588"/>
      <c r="B577" s="607"/>
      <c r="C577" s="615"/>
      <c r="D577" s="60" t="s">
        <v>768</v>
      </c>
      <c r="E577" s="199"/>
      <c r="F577" s="143"/>
      <c r="G577" s="199"/>
      <c r="H577" s="417">
        <v>3110</v>
      </c>
      <c r="I577" s="201">
        <f>84900-84900</f>
        <v>0</v>
      </c>
      <c r="J577" s="201"/>
      <c r="K577" s="201"/>
      <c r="L577" s="201">
        <v>84900</v>
      </c>
      <c r="M577" s="144"/>
      <c r="N577" s="407"/>
      <c r="O577" s="201">
        <v>84900</v>
      </c>
      <c r="P577" s="407"/>
      <c r="Q577" s="407"/>
      <c r="R577" s="407">
        <v>-84900</v>
      </c>
      <c r="S577" s="407">
        <v>84900</v>
      </c>
      <c r="T577" s="407"/>
      <c r="U577" s="407">
        <v>-84900</v>
      </c>
      <c r="V577" s="407"/>
      <c r="W577" s="407"/>
      <c r="X577" s="407"/>
      <c r="Y577" s="407"/>
      <c r="Z577" s="201"/>
      <c r="AA577" s="407">
        <f t="shared" si="73"/>
        <v>0</v>
      </c>
      <c r="AC577" s="499"/>
      <c r="AD577" s="513"/>
      <c r="AE577" s="508"/>
      <c r="AF577" s="508"/>
      <c r="AG577" s="508"/>
      <c r="AH577" s="508"/>
    </row>
    <row r="578" spans="1:34" ht="15.75" hidden="1">
      <c r="A578" s="588"/>
      <c r="B578" s="607"/>
      <c r="C578" s="616"/>
      <c r="D578" s="60" t="s">
        <v>769</v>
      </c>
      <c r="E578" s="199"/>
      <c r="F578" s="143"/>
      <c r="G578" s="199"/>
      <c r="H578" s="417">
        <v>3110</v>
      </c>
      <c r="I578" s="201">
        <f>12342-12342</f>
        <v>0</v>
      </c>
      <c r="J578" s="201"/>
      <c r="K578" s="201"/>
      <c r="L578" s="201">
        <v>12342</v>
      </c>
      <c r="M578" s="144"/>
      <c r="N578" s="407"/>
      <c r="O578" s="201">
        <v>12342</v>
      </c>
      <c r="P578" s="407"/>
      <c r="Q578" s="407"/>
      <c r="R578" s="407">
        <f>-852-11490</f>
        <v>-12342</v>
      </c>
      <c r="S578" s="407">
        <v>11490</v>
      </c>
      <c r="T578" s="407">
        <v>852</v>
      </c>
      <c r="U578" s="407">
        <v>-12342</v>
      </c>
      <c r="V578" s="407"/>
      <c r="W578" s="407"/>
      <c r="X578" s="407"/>
      <c r="Y578" s="407"/>
      <c r="Z578" s="201"/>
      <c r="AA578" s="407">
        <f t="shared" si="73"/>
        <v>0</v>
      </c>
      <c r="AC578" s="499"/>
      <c r="AD578" s="513"/>
      <c r="AE578" s="508"/>
      <c r="AF578" s="508"/>
      <c r="AG578" s="508"/>
      <c r="AH578" s="508"/>
    </row>
    <row r="579" spans="1:34" ht="31.5">
      <c r="A579" s="588"/>
      <c r="B579" s="607"/>
      <c r="C579" s="205" t="s">
        <v>770</v>
      </c>
      <c r="D579" s="217" t="s">
        <v>771</v>
      </c>
      <c r="E579" s="142">
        <v>270.96</v>
      </c>
      <c r="F579" s="143">
        <f>100%-((E579-G579)/E579)</f>
        <v>0.413</v>
      </c>
      <c r="G579" s="142">
        <v>112</v>
      </c>
      <c r="H579" s="417">
        <v>3132</v>
      </c>
      <c r="I579" s="144">
        <v>3070.2</v>
      </c>
      <c r="J579" s="144"/>
      <c r="K579" s="144"/>
      <c r="L579" s="144">
        <v>3070.2</v>
      </c>
      <c r="M579" s="144"/>
      <c r="N579" s="407"/>
      <c r="O579" s="144">
        <v>3070.2</v>
      </c>
      <c r="P579" s="407"/>
      <c r="Q579" s="407"/>
      <c r="R579" s="407"/>
      <c r="S579" s="407"/>
      <c r="T579" s="407"/>
      <c r="U579" s="407"/>
      <c r="V579" s="407"/>
      <c r="W579" s="407"/>
      <c r="X579" s="407"/>
      <c r="Y579" s="407"/>
      <c r="Z579" s="144">
        <v>3070.2</v>
      </c>
      <c r="AA579" s="407">
        <f t="shared" si="73"/>
        <v>0</v>
      </c>
      <c r="AC579" s="499"/>
      <c r="AD579" s="513">
        <v>3070.2</v>
      </c>
      <c r="AE579" s="508">
        <v>102939.25</v>
      </c>
      <c r="AF579" s="507" t="s">
        <v>1514</v>
      </c>
      <c r="AG579" s="508"/>
      <c r="AH579" s="508"/>
    </row>
    <row r="580" spans="1:34" ht="15.75" customHeight="1" hidden="1">
      <c r="A580" s="588"/>
      <c r="B580" s="607"/>
      <c r="C580" s="614" t="s">
        <v>772</v>
      </c>
      <c r="D580" s="217" t="s">
        <v>773</v>
      </c>
      <c r="E580" s="142"/>
      <c r="F580" s="143"/>
      <c r="G580" s="142"/>
      <c r="H580" s="417"/>
      <c r="I580" s="144">
        <v>0</v>
      </c>
      <c r="J580" s="144">
        <f>SUM(J581:J583)</f>
        <v>0</v>
      </c>
      <c r="K580" s="144">
        <f>SUM(K581:K583)</f>
        <v>0</v>
      </c>
      <c r="L580" s="144">
        <f>SUM(L581:L583)</f>
        <v>0</v>
      </c>
      <c r="M580" s="144">
        <f>SUM(M581:M583)</f>
        <v>0</v>
      </c>
      <c r="N580" s="407"/>
      <c r="O580" s="144">
        <v>0</v>
      </c>
      <c r="P580" s="407"/>
      <c r="Q580" s="407"/>
      <c r="R580" s="407"/>
      <c r="S580" s="407"/>
      <c r="T580" s="407"/>
      <c r="U580" s="407"/>
      <c r="V580" s="407"/>
      <c r="W580" s="407"/>
      <c r="X580" s="407"/>
      <c r="Y580" s="407"/>
      <c r="Z580" s="144">
        <v>0</v>
      </c>
      <c r="AA580" s="407">
        <f t="shared" si="73"/>
        <v>0</v>
      </c>
      <c r="AC580" s="499"/>
      <c r="AD580" s="513"/>
      <c r="AE580" s="508"/>
      <c r="AF580" s="508"/>
      <c r="AG580" s="508"/>
      <c r="AH580" s="508"/>
    </row>
    <row r="581" spans="1:34" ht="15.75" customHeight="1" hidden="1">
      <c r="A581" s="588"/>
      <c r="B581" s="607"/>
      <c r="C581" s="615"/>
      <c r="D581" s="251" t="s">
        <v>1429</v>
      </c>
      <c r="E581" s="199"/>
      <c r="F581" s="143"/>
      <c r="G581" s="199"/>
      <c r="H581" s="423"/>
      <c r="I581" s="201">
        <v>0</v>
      </c>
      <c r="J581" s="201"/>
      <c r="K581" s="201"/>
      <c r="L581" s="201"/>
      <c r="M581" s="201"/>
      <c r="N581" s="407"/>
      <c r="O581" s="201">
        <v>0</v>
      </c>
      <c r="P581" s="407"/>
      <c r="Q581" s="407"/>
      <c r="R581" s="407"/>
      <c r="S581" s="407"/>
      <c r="T581" s="407"/>
      <c r="U581" s="407"/>
      <c r="V581" s="407"/>
      <c r="W581" s="407"/>
      <c r="X581" s="407"/>
      <c r="Y581" s="407"/>
      <c r="Z581" s="201">
        <v>0</v>
      </c>
      <c r="AA581" s="407">
        <f t="shared" si="73"/>
        <v>0</v>
      </c>
      <c r="AC581" s="499"/>
      <c r="AD581" s="513"/>
      <c r="AE581" s="508"/>
      <c r="AF581" s="508"/>
      <c r="AG581" s="508"/>
      <c r="AH581" s="508"/>
    </row>
    <row r="582" spans="1:34" ht="15.75" customHeight="1" hidden="1">
      <c r="A582" s="588"/>
      <c r="B582" s="607"/>
      <c r="C582" s="615"/>
      <c r="D582" s="251" t="s">
        <v>1430</v>
      </c>
      <c r="E582" s="199"/>
      <c r="F582" s="143"/>
      <c r="G582" s="199"/>
      <c r="H582" s="423"/>
      <c r="I582" s="201">
        <v>0</v>
      </c>
      <c r="J582" s="201"/>
      <c r="K582" s="201"/>
      <c r="L582" s="201"/>
      <c r="M582" s="201"/>
      <c r="N582" s="407"/>
      <c r="O582" s="201">
        <v>0</v>
      </c>
      <c r="P582" s="407"/>
      <c r="Q582" s="407"/>
      <c r="R582" s="407"/>
      <c r="S582" s="407"/>
      <c r="T582" s="407"/>
      <c r="U582" s="407"/>
      <c r="V582" s="407"/>
      <c r="W582" s="407"/>
      <c r="X582" s="407"/>
      <c r="Y582" s="407"/>
      <c r="Z582" s="201">
        <v>0</v>
      </c>
      <c r="AA582" s="407">
        <f t="shared" si="73"/>
        <v>0</v>
      </c>
      <c r="AC582" s="499"/>
      <c r="AD582" s="513"/>
      <c r="AE582" s="508"/>
      <c r="AF582" s="508"/>
      <c r="AG582" s="508"/>
      <c r="AH582" s="508"/>
    </row>
    <row r="583" spans="1:34" ht="15.75" customHeight="1" hidden="1">
      <c r="A583" s="588"/>
      <c r="B583" s="607"/>
      <c r="C583" s="616"/>
      <c r="D583" s="251" t="s">
        <v>1431</v>
      </c>
      <c r="E583" s="199"/>
      <c r="F583" s="143"/>
      <c r="G583" s="199"/>
      <c r="H583" s="423"/>
      <c r="I583" s="201">
        <v>0</v>
      </c>
      <c r="J583" s="201"/>
      <c r="K583" s="201"/>
      <c r="L583" s="201"/>
      <c r="M583" s="201"/>
      <c r="N583" s="407"/>
      <c r="O583" s="201">
        <v>0</v>
      </c>
      <c r="P583" s="407"/>
      <c r="Q583" s="407"/>
      <c r="R583" s="407"/>
      <c r="S583" s="407"/>
      <c r="T583" s="407"/>
      <c r="U583" s="407"/>
      <c r="V583" s="407"/>
      <c r="W583" s="407"/>
      <c r="X583" s="407"/>
      <c r="Y583" s="407"/>
      <c r="Z583" s="201">
        <v>0</v>
      </c>
      <c r="AA583" s="407">
        <f t="shared" si="73"/>
        <v>0</v>
      </c>
      <c r="AC583" s="499"/>
      <c r="AD583" s="513"/>
      <c r="AE583" s="508"/>
      <c r="AF583" s="508"/>
      <c r="AG583" s="508"/>
      <c r="AH583" s="508"/>
    </row>
    <row r="584" spans="1:34" ht="15.75">
      <c r="A584" s="588"/>
      <c r="B584" s="607"/>
      <c r="C584" s="614" t="s">
        <v>1432</v>
      </c>
      <c r="D584" s="217" t="s">
        <v>1427</v>
      </c>
      <c r="E584" s="142"/>
      <c r="F584" s="143"/>
      <c r="G584" s="142"/>
      <c r="H584" s="417"/>
      <c r="I584" s="144">
        <f>I585+I586+I587+I588</f>
        <v>2380000</v>
      </c>
      <c r="J584" s="144">
        <f>J585+J586+J587+J588</f>
        <v>0</v>
      </c>
      <c r="K584" s="144">
        <f>K585+K586+K587+K588</f>
        <v>0</v>
      </c>
      <c r="L584" s="144">
        <f>L585+L586+L587+L588</f>
        <v>2380000</v>
      </c>
      <c r="M584" s="144">
        <f>M585+M586+M587+M588</f>
        <v>0</v>
      </c>
      <c r="N584" s="407"/>
      <c r="O584" s="144">
        <f>O585+O586+O587+O588</f>
        <v>2380000</v>
      </c>
      <c r="P584" s="407"/>
      <c r="Q584" s="407"/>
      <c r="R584" s="407"/>
      <c r="S584" s="407"/>
      <c r="T584" s="407"/>
      <c r="U584" s="407"/>
      <c r="V584" s="407"/>
      <c r="W584" s="407"/>
      <c r="X584" s="407"/>
      <c r="Y584" s="407"/>
      <c r="Z584" s="144">
        <f>Z585+Z586+Z587+Z588</f>
        <v>2380000</v>
      </c>
      <c r="AA584" s="407">
        <f t="shared" si="73"/>
        <v>0</v>
      </c>
      <c r="AC584" s="499"/>
      <c r="AD584" s="513"/>
      <c r="AE584" s="508"/>
      <c r="AF584" s="508"/>
      <c r="AG584" s="508"/>
      <c r="AH584" s="508"/>
    </row>
    <row r="585" spans="1:34" ht="31.5">
      <c r="A585" s="588"/>
      <c r="B585" s="607"/>
      <c r="C585" s="615"/>
      <c r="D585" s="347" t="s">
        <v>1912</v>
      </c>
      <c r="E585" s="199"/>
      <c r="F585" s="143"/>
      <c r="G585" s="199"/>
      <c r="H585" s="417">
        <v>3110</v>
      </c>
      <c r="I585" s="201">
        <v>595000</v>
      </c>
      <c r="J585" s="201"/>
      <c r="K585" s="201"/>
      <c r="L585" s="201">
        <v>595000</v>
      </c>
      <c r="M585" s="201"/>
      <c r="N585" s="407"/>
      <c r="O585" s="201">
        <v>595000</v>
      </c>
      <c r="P585" s="407"/>
      <c r="Q585" s="407"/>
      <c r="R585" s="407"/>
      <c r="S585" s="407"/>
      <c r="T585" s="407"/>
      <c r="U585" s="407"/>
      <c r="V585" s="407"/>
      <c r="W585" s="407"/>
      <c r="X585" s="407"/>
      <c r="Y585" s="407"/>
      <c r="Z585" s="201">
        <v>595000</v>
      </c>
      <c r="AA585" s="407">
        <f t="shared" si="73"/>
        <v>0</v>
      </c>
      <c r="AC585" s="499"/>
      <c r="AD585" s="513">
        <v>595000</v>
      </c>
      <c r="AE585" s="508">
        <v>595000</v>
      </c>
      <c r="AF585" s="507" t="s">
        <v>1515</v>
      </c>
      <c r="AG585" s="508"/>
      <c r="AH585" s="508"/>
    </row>
    <row r="586" spans="1:34" ht="31.5">
      <c r="A586" s="588"/>
      <c r="B586" s="607"/>
      <c r="C586" s="615"/>
      <c r="D586" s="347" t="s">
        <v>1913</v>
      </c>
      <c r="E586" s="199"/>
      <c r="F586" s="143"/>
      <c r="G586" s="199"/>
      <c r="H586" s="417">
        <v>3110</v>
      </c>
      <c r="I586" s="201">
        <v>595000</v>
      </c>
      <c r="J586" s="201"/>
      <c r="K586" s="201"/>
      <c r="L586" s="201">
        <v>595000</v>
      </c>
      <c r="M586" s="201"/>
      <c r="N586" s="407"/>
      <c r="O586" s="201">
        <v>595000</v>
      </c>
      <c r="P586" s="407"/>
      <c r="Q586" s="407"/>
      <c r="R586" s="407"/>
      <c r="S586" s="407"/>
      <c r="T586" s="407"/>
      <c r="U586" s="407"/>
      <c r="V586" s="407"/>
      <c r="W586" s="407"/>
      <c r="X586" s="407"/>
      <c r="Y586" s="407"/>
      <c r="Z586" s="201">
        <v>595000</v>
      </c>
      <c r="AA586" s="407">
        <f t="shared" si="73"/>
        <v>0</v>
      </c>
      <c r="AC586" s="499"/>
      <c r="AD586" s="513">
        <v>595000</v>
      </c>
      <c r="AE586" s="508">
        <v>595000</v>
      </c>
      <c r="AF586" s="507" t="s">
        <v>1516</v>
      </c>
      <c r="AG586" s="508"/>
      <c r="AH586" s="508"/>
    </row>
    <row r="587" spans="1:34" ht="31.5">
      <c r="A587" s="588"/>
      <c r="B587" s="607"/>
      <c r="C587" s="615"/>
      <c r="D587" s="347" t="s">
        <v>1914</v>
      </c>
      <c r="E587" s="199"/>
      <c r="F587" s="143"/>
      <c r="G587" s="199"/>
      <c r="H587" s="417">
        <v>3110</v>
      </c>
      <c r="I587" s="201">
        <v>595000</v>
      </c>
      <c r="J587" s="201"/>
      <c r="K587" s="201"/>
      <c r="L587" s="201">
        <v>595000</v>
      </c>
      <c r="M587" s="201"/>
      <c r="N587" s="407"/>
      <c r="O587" s="201">
        <v>595000</v>
      </c>
      <c r="P587" s="407"/>
      <c r="Q587" s="407"/>
      <c r="R587" s="407"/>
      <c r="S587" s="407"/>
      <c r="T587" s="407"/>
      <c r="U587" s="407"/>
      <c r="V587" s="407"/>
      <c r="W587" s="407"/>
      <c r="X587" s="407"/>
      <c r="Y587" s="407"/>
      <c r="Z587" s="201">
        <v>595000</v>
      </c>
      <c r="AA587" s="407">
        <f t="shared" si="73"/>
        <v>0</v>
      </c>
      <c r="AC587" s="499"/>
      <c r="AD587" s="513">
        <v>595000</v>
      </c>
      <c r="AE587" s="508">
        <v>595000</v>
      </c>
      <c r="AF587" s="507" t="s">
        <v>1517</v>
      </c>
      <c r="AG587" s="508"/>
      <c r="AH587" s="508"/>
    </row>
    <row r="588" spans="1:34" ht="31.5">
      <c r="A588" s="588"/>
      <c r="B588" s="607"/>
      <c r="C588" s="616"/>
      <c r="D588" s="347" t="s">
        <v>1614</v>
      </c>
      <c r="E588" s="199"/>
      <c r="F588" s="143"/>
      <c r="G588" s="199"/>
      <c r="H588" s="417">
        <v>3210</v>
      </c>
      <c r="I588" s="201">
        <v>595000</v>
      </c>
      <c r="J588" s="201"/>
      <c r="K588" s="201"/>
      <c r="L588" s="201">
        <v>595000</v>
      </c>
      <c r="M588" s="201"/>
      <c r="N588" s="407"/>
      <c r="O588" s="201">
        <v>595000</v>
      </c>
      <c r="P588" s="407"/>
      <c r="Q588" s="407"/>
      <c r="R588" s="407"/>
      <c r="S588" s="407"/>
      <c r="T588" s="407"/>
      <c r="U588" s="407"/>
      <c r="V588" s="407"/>
      <c r="W588" s="407"/>
      <c r="X588" s="407"/>
      <c r="Y588" s="407"/>
      <c r="Z588" s="201">
        <v>595000</v>
      </c>
      <c r="AA588" s="407">
        <f t="shared" si="73"/>
        <v>0</v>
      </c>
      <c r="AC588" s="499"/>
      <c r="AD588" s="513">
        <v>595000</v>
      </c>
      <c r="AE588" s="508">
        <v>595000</v>
      </c>
      <c r="AF588" s="507" t="s">
        <v>1518</v>
      </c>
      <c r="AG588" s="508"/>
      <c r="AH588" s="508"/>
    </row>
    <row r="589" spans="1:34" ht="48.75" customHeight="1" hidden="1">
      <c r="A589" s="588"/>
      <c r="B589" s="607"/>
      <c r="C589" s="205" t="s">
        <v>1915</v>
      </c>
      <c r="D589" s="61" t="s">
        <v>1916</v>
      </c>
      <c r="E589" s="142">
        <v>1040.892</v>
      </c>
      <c r="F589" s="143">
        <f>100%-((E589-G589)/E589)</f>
        <v>1</v>
      </c>
      <c r="G589" s="142">
        <v>1040.892</v>
      </c>
      <c r="H589" s="417">
        <v>3110</v>
      </c>
      <c r="I589" s="144">
        <v>0</v>
      </c>
      <c r="J589" s="201"/>
      <c r="K589" s="201"/>
      <c r="L589" s="144"/>
      <c r="M589" s="201"/>
      <c r="N589" s="407"/>
      <c r="O589" s="144">
        <v>0</v>
      </c>
      <c r="P589" s="407"/>
      <c r="Q589" s="407"/>
      <c r="R589" s="407"/>
      <c r="S589" s="407"/>
      <c r="T589" s="407"/>
      <c r="U589" s="407"/>
      <c r="V589" s="407"/>
      <c r="W589" s="407"/>
      <c r="X589" s="407"/>
      <c r="Y589" s="407"/>
      <c r="Z589" s="144">
        <v>0</v>
      </c>
      <c r="AA589" s="407">
        <f t="shared" si="73"/>
        <v>0</v>
      </c>
      <c r="AC589" s="499"/>
      <c r="AD589" s="513"/>
      <c r="AE589" s="508"/>
      <c r="AF589" s="508"/>
      <c r="AG589" s="508"/>
      <c r="AH589" s="508"/>
    </row>
    <row r="590" spans="1:34" ht="31.5">
      <c r="A590" s="588"/>
      <c r="B590" s="607"/>
      <c r="C590" s="205"/>
      <c r="D590" s="217" t="s">
        <v>1917</v>
      </c>
      <c r="E590" s="199"/>
      <c r="F590" s="143"/>
      <c r="G590" s="199"/>
      <c r="H590" s="417">
        <v>3132</v>
      </c>
      <c r="I590" s="144">
        <v>6358.04</v>
      </c>
      <c r="J590" s="201"/>
      <c r="K590" s="201"/>
      <c r="L590" s="144">
        <v>6358.04</v>
      </c>
      <c r="M590" s="201"/>
      <c r="N590" s="407"/>
      <c r="O590" s="144">
        <v>6358.04</v>
      </c>
      <c r="P590" s="407"/>
      <c r="Q590" s="407"/>
      <c r="R590" s="407"/>
      <c r="S590" s="407"/>
      <c r="T590" s="407"/>
      <c r="U590" s="407"/>
      <c r="V590" s="407"/>
      <c r="W590" s="407"/>
      <c r="X590" s="407"/>
      <c r="Y590" s="407"/>
      <c r="Z590" s="144">
        <v>6358.04</v>
      </c>
      <c r="AA590" s="407">
        <f t="shared" si="73"/>
        <v>0</v>
      </c>
      <c r="AC590" s="499"/>
      <c r="AD590" s="513">
        <v>6358.04</v>
      </c>
      <c r="AE590" s="508">
        <v>13887.5</v>
      </c>
      <c r="AF590" s="507" t="s">
        <v>1519</v>
      </c>
      <c r="AG590" s="508"/>
      <c r="AH590" s="508"/>
    </row>
    <row r="591" spans="1:34" s="64" customFormat="1" ht="15.75" hidden="1">
      <c r="A591" s="588"/>
      <c r="B591" s="607"/>
      <c r="C591" s="252"/>
      <c r="D591" s="355"/>
      <c r="E591" s="199">
        <v>15.42</v>
      </c>
      <c r="F591" s="143">
        <f>100%-((E591-G591)/E591)</f>
        <v>1</v>
      </c>
      <c r="G591" s="199">
        <v>15.42</v>
      </c>
      <c r="H591" s="417">
        <v>3110</v>
      </c>
      <c r="I591" s="144">
        <v>0</v>
      </c>
      <c r="J591" s="201"/>
      <c r="K591" s="201"/>
      <c r="L591" s="76"/>
      <c r="M591" s="201"/>
      <c r="N591" s="465"/>
      <c r="O591" s="465"/>
      <c r="P591" s="465"/>
      <c r="Q591" s="465"/>
      <c r="R591" s="465"/>
      <c r="S591" s="465"/>
      <c r="T591" s="465"/>
      <c r="U591" s="465"/>
      <c r="V591" s="465"/>
      <c r="W591" s="465"/>
      <c r="X591" s="465"/>
      <c r="Y591" s="465"/>
      <c r="Z591" s="465"/>
      <c r="AA591" s="407">
        <f t="shared" si="73"/>
        <v>0</v>
      </c>
      <c r="AC591" s="500"/>
      <c r="AD591" s="516"/>
      <c r="AE591" s="510"/>
      <c r="AF591" s="510"/>
      <c r="AG591" s="510"/>
      <c r="AH591" s="510"/>
    </row>
    <row r="592" spans="1:34" s="64" customFormat="1" ht="31.5">
      <c r="A592" s="588"/>
      <c r="B592" s="607"/>
      <c r="C592" s="252"/>
      <c r="D592" s="13" t="s">
        <v>1919</v>
      </c>
      <c r="E592" s="199">
        <v>53.115</v>
      </c>
      <c r="F592" s="143">
        <f>100%-((E592-G592)/E592)</f>
        <v>1</v>
      </c>
      <c r="G592" s="199">
        <v>53.115</v>
      </c>
      <c r="H592" s="417"/>
      <c r="I592" s="49">
        <f>SUM(I593:I597)</f>
        <v>73500</v>
      </c>
      <c r="J592" s="372">
        <f>SUM(J593:J597)</f>
        <v>0</v>
      </c>
      <c r="K592" s="372">
        <f>SUM(K593:K597)</f>
        <v>0</v>
      </c>
      <c r="L592" s="49">
        <f>SUM(L593:L597)</f>
        <v>73500</v>
      </c>
      <c r="M592" s="49">
        <f aca="true" t="shared" si="79" ref="M592:Y592">SUM(M593:M597)</f>
        <v>0</v>
      </c>
      <c r="N592" s="49">
        <f t="shared" si="79"/>
        <v>0</v>
      </c>
      <c r="O592" s="49">
        <f t="shared" si="79"/>
        <v>0</v>
      </c>
      <c r="P592" s="49">
        <f t="shared" si="79"/>
        <v>0</v>
      </c>
      <c r="Q592" s="49">
        <f t="shared" si="79"/>
        <v>0</v>
      </c>
      <c r="R592" s="49">
        <f t="shared" si="79"/>
        <v>0</v>
      </c>
      <c r="S592" s="49">
        <f t="shared" si="79"/>
        <v>0</v>
      </c>
      <c r="T592" s="49">
        <f t="shared" si="79"/>
        <v>0</v>
      </c>
      <c r="U592" s="49">
        <f t="shared" si="79"/>
        <v>73500</v>
      </c>
      <c r="V592" s="49">
        <f t="shared" si="79"/>
        <v>0</v>
      </c>
      <c r="W592" s="49">
        <f t="shared" si="79"/>
        <v>0</v>
      </c>
      <c r="X592" s="49">
        <f t="shared" si="79"/>
        <v>0</v>
      </c>
      <c r="Y592" s="49">
        <f t="shared" si="79"/>
        <v>0</v>
      </c>
      <c r="Z592" s="465"/>
      <c r="AA592" s="407">
        <f t="shared" si="73"/>
        <v>73500</v>
      </c>
      <c r="AC592" s="500"/>
      <c r="AD592" s="516"/>
      <c r="AE592" s="510"/>
      <c r="AF592" s="510"/>
      <c r="AG592" s="510"/>
      <c r="AH592" s="510"/>
    </row>
    <row r="593" spans="1:62" s="253" customFormat="1" ht="15.75">
      <c r="A593" s="588"/>
      <c r="B593" s="607"/>
      <c r="C593" s="252"/>
      <c r="D593" s="346" t="s">
        <v>1918</v>
      </c>
      <c r="E593" s="199"/>
      <c r="F593" s="200"/>
      <c r="G593" s="199"/>
      <c r="H593" s="417">
        <v>3110</v>
      </c>
      <c r="I593" s="201">
        <v>14700</v>
      </c>
      <c r="J593" s="201"/>
      <c r="K593" s="201"/>
      <c r="L593" s="469">
        <v>14700</v>
      </c>
      <c r="M593" s="201"/>
      <c r="N593" s="465"/>
      <c r="O593" s="465"/>
      <c r="P593" s="465"/>
      <c r="Q593" s="465"/>
      <c r="R593" s="465"/>
      <c r="S593" s="465"/>
      <c r="T593" s="465"/>
      <c r="U593" s="465">
        <v>14700</v>
      </c>
      <c r="V593" s="465"/>
      <c r="W593" s="465"/>
      <c r="X593" s="465"/>
      <c r="Y593" s="465"/>
      <c r="Z593" s="465"/>
      <c r="AA593" s="407">
        <f t="shared" si="73"/>
        <v>14700</v>
      </c>
      <c r="AB593" s="64"/>
      <c r="AC593" s="500"/>
      <c r="AD593" s="516">
        <v>14700</v>
      </c>
      <c r="AE593" s="510"/>
      <c r="AF593" s="510"/>
      <c r="AG593" s="510"/>
      <c r="AH593" s="686" t="s">
        <v>1520</v>
      </c>
      <c r="AI593" s="64"/>
      <c r="AJ593" s="64"/>
      <c r="AK593" s="64"/>
      <c r="AL593" s="64"/>
      <c r="AM593" s="64"/>
      <c r="AN593" s="64"/>
      <c r="AO593" s="64"/>
      <c r="AP593" s="64"/>
      <c r="AQ593" s="64"/>
      <c r="AR593" s="64"/>
      <c r="AS593" s="64"/>
      <c r="AT593" s="64"/>
      <c r="AU593" s="64"/>
      <c r="AV593" s="64"/>
      <c r="AW593" s="64"/>
      <c r="AX593" s="64"/>
      <c r="AY593" s="64"/>
      <c r="AZ593" s="64"/>
      <c r="BA593" s="64"/>
      <c r="BB593" s="64"/>
      <c r="BC593" s="64"/>
      <c r="BD593" s="64"/>
      <c r="BE593" s="64"/>
      <c r="BF593" s="64"/>
      <c r="BG593" s="64"/>
      <c r="BH593" s="64"/>
      <c r="BI593" s="64"/>
      <c r="BJ593" s="64"/>
    </row>
    <row r="594" spans="1:62" s="253" customFormat="1" ht="15.75">
      <c r="A594" s="588"/>
      <c r="B594" s="607"/>
      <c r="C594" s="252"/>
      <c r="D594" s="346" t="s">
        <v>113</v>
      </c>
      <c r="E594" s="199"/>
      <c r="F594" s="200"/>
      <c r="G594" s="199"/>
      <c r="H594" s="417">
        <v>3110</v>
      </c>
      <c r="I594" s="201">
        <v>14700</v>
      </c>
      <c r="J594" s="201"/>
      <c r="K594" s="201"/>
      <c r="L594" s="469">
        <v>14700</v>
      </c>
      <c r="M594" s="201"/>
      <c r="N594" s="465"/>
      <c r="O594" s="465"/>
      <c r="P594" s="465"/>
      <c r="Q594" s="465"/>
      <c r="R594" s="465"/>
      <c r="S594" s="465"/>
      <c r="T594" s="465"/>
      <c r="U594" s="465">
        <v>14700</v>
      </c>
      <c r="V594" s="465"/>
      <c r="W594" s="465"/>
      <c r="X594" s="465"/>
      <c r="Y594" s="465"/>
      <c r="Z594" s="465"/>
      <c r="AA594" s="407">
        <f t="shared" si="73"/>
        <v>14700</v>
      </c>
      <c r="AB594" s="64"/>
      <c r="AC594" s="500"/>
      <c r="AD594" s="516">
        <v>14700</v>
      </c>
      <c r="AE594" s="510"/>
      <c r="AF594" s="510"/>
      <c r="AG594" s="510"/>
      <c r="AH594" s="687"/>
      <c r="AI594" s="64"/>
      <c r="AJ594" s="64"/>
      <c r="AK594" s="64"/>
      <c r="AL594" s="64"/>
      <c r="AM594" s="64"/>
      <c r="AN594" s="64"/>
      <c r="AO594" s="64"/>
      <c r="AP594" s="64"/>
      <c r="AQ594" s="64"/>
      <c r="AR594" s="64"/>
      <c r="AS594" s="64"/>
      <c r="AT594" s="64"/>
      <c r="AU594" s="64"/>
      <c r="AV594" s="64"/>
      <c r="AW594" s="64"/>
      <c r="AX594" s="64"/>
      <c r="AY594" s="64"/>
      <c r="AZ594" s="64"/>
      <c r="BA594" s="64"/>
      <c r="BB594" s="64"/>
      <c r="BC594" s="64"/>
      <c r="BD594" s="64"/>
      <c r="BE594" s="64"/>
      <c r="BF594" s="64"/>
      <c r="BG594" s="64"/>
      <c r="BH594" s="64"/>
      <c r="BI594" s="64"/>
      <c r="BJ594" s="64"/>
    </row>
    <row r="595" spans="1:62" s="253" customFormat="1" ht="15.75">
      <c r="A595" s="588"/>
      <c r="B595" s="607"/>
      <c r="C595" s="252"/>
      <c r="D595" s="346" t="s">
        <v>774</v>
      </c>
      <c r="E595" s="199"/>
      <c r="F595" s="200"/>
      <c r="G595" s="199"/>
      <c r="H595" s="417">
        <v>3110</v>
      </c>
      <c r="I595" s="201">
        <v>14700</v>
      </c>
      <c r="J595" s="201"/>
      <c r="K595" s="201"/>
      <c r="L595" s="469">
        <v>14700</v>
      </c>
      <c r="M595" s="201"/>
      <c r="N595" s="465"/>
      <c r="O595" s="465"/>
      <c r="P595" s="465"/>
      <c r="Q595" s="465"/>
      <c r="R595" s="465"/>
      <c r="S595" s="465"/>
      <c r="T595" s="465"/>
      <c r="U595" s="465">
        <v>14700</v>
      </c>
      <c r="V595" s="465"/>
      <c r="W595" s="465"/>
      <c r="X595" s="465"/>
      <c r="Y595" s="465"/>
      <c r="Z595" s="465"/>
      <c r="AA595" s="407">
        <f t="shared" si="73"/>
        <v>14700</v>
      </c>
      <c r="AB595" s="64"/>
      <c r="AC595" s="500"/>
      <c r="AD595" s="516">
        <v>14700</v>
      </c>
      <c r="AE595" s="510"/>
      <c r="AF595" s="510"/>
      <c r="AG595" s="510"/>
      <c r="AH595" s="687"/>
      <c r="AI595" s="64"/>
      <c r="AJ595" s="64"/>
      <c r="AK595" s="64"/>
      <c r="AL595" s="64"/>
      <c r="AM595" s="64"/>
      <c r="AN595" s="64"/>
      <c r="AO595" s="64"/>
      <c r="AP595" s="64"/>
      <c r="AQ595" s="64"/>
      <c r="AR595" s="64"/>
      <c r="AS595" s="64"/>
      <c r="AT595" s="64"/>
      <c r="AU595" s="64"/>
      <c r="AV595" s="64"/>
      <c r="AW595" s="64"/>
      <c r="AX595" s="64"/>
      <c r="AY595" s="64"/>
      <c r="AZ595" s="64"/>
      <c r="BA595" s="64"/>
      <c r="BB595" s="64"/>
      <c r="BC595" s="64"/>
      <c r="BD595" s="64"/>
      <c r="BE595" s="64"/>
      <c r="BF595" s="64"/>
      <c r="BG595" s="64"/>
      <c r="BH595" s="64"/>
      <c r="BI595" s="64"/>
      <c r="BJ595" s="64"/>
    </row>
    <row r="596" spans="1:62" s="253" customFormat="1" ht="15.75">
      <c r="A596" s="588"/>
      <c r="B596" s="607"/>
      <c r="C596" s="252"/>
      <c r="D596" s="346" t="s">
        <v>1383</v>
      </c>
      <c r="E596" s="199"/>
      <c r="F596" s="200"/>
      <c r="G596" s="199"/>
      <c r="H596" s="417">
        <v>3110</v>
      </c>
      <c r="I596" s="201">
        <v>14700</v>
      </c>
      <c r="J596" s="201"/>
      <c r="K596" s="201"/>
      <c r="L596" s="469">
        <v>14700</v>
      </c>
      <c r="M596" s="201"/>
      <c r="N596" s="465"/>
      <c r="O596" s="465"/>
      <c r="P596" s="465"/>
      <c r="Q596" s="465"/>
      <c r="R596" s="465"/>
      <c r="S596" s="465"/>
      <c r="T596" s="465"/>
      <c r="U596" s="465">
        <v>14700</v>
      </c>
      <c r="V596" s="465"/>
      <c r="W596" s="465"/>
      <c r="X596" s="465"/>
      <c r="Y596" s="465"/>
      <c r="Z596" s="465"/>
      <c r="AA596" s="407">
        <f t="shared" si="73"/>
        <v>14700</v>
      </c>
      <c r="AB596" s="64"/>
      <c r="AC596" s="500"/>
      <c r="AD596" s="516">
        <v>14700</v>
      </c>
      <c r="AE596" s="510"/>
      <c r="AF596" s="510"/>
      <c r="AG596" s="510"/>
      <c r="AH596" s="687"/>
      <c r="AI596" s="64"/>
      <c r="AJ596" s="64"/>
      <c r="AK596" s="64"/>
      <c r="AL596" s="64"/>
      <c r="AM596" s="64"/>
      <c r="AN596" s="64"/>
      <c r="AO596" s="64"/>
      <c r="AP596" s="64"/>
      <c r="AQ596" s="64"/>
      <c r="AR596" s="64"/>
      <c r="AS596" s="64"/>
      <c r="AT596" s="64"/>
      <c r="AU596" s="64"/>
      <c r="AV596" s="64"/>
      <c r="AW596" s="64"/>
      <c r="AX596" s="64"/>
      <c r="AY596" s="64"/>
      <c r="AZ596" s="64"/>
      <c r="BA596" s="64"/>
      <c r="BB596" s="64"/>
      <c r="BC596" s="64"/>
      <c r="BD596" s="64"/>
      <c r="BE596" s="64"/>
      <c r="BF596" s="64"/>
      <c r="BG596" s="64"/>
      <c r="BH596" s="64"/>
      <c r="BI596" s="64"/>
      <c r="BJ596" s="64"/>
    </row>
    <row r="597" spans="1:62" s="253" customFormat="1" ht="15.75">
      <c r="A597" s="588"/>
      <c r="B597" s="607"/>
      <c r="C597" s="252"/>
      <c r="D597" s="346" t="s">
        <v>2066</v>
      </c>
      <c r="E597" s="199"/>
      <c r="F597" s="200"/>
      <c r="G597" s="199"/>
      <c r="H597" s="417">
        <v>3210</v>
      </c>
      <c r="I597" s="201">
        <v>14700</v>
      </c>
      <c r="J597" s="201"/>
      <c r="K597" s="201"/>
      <c r="L597" s="469">
        <v>14700</v>
      </c>
      <c r="M597" s="201"/>
      <c r="N597" s="465"/>
      <c r="O597" s="465"/>
      <c r="P597" s="465"/>
      <c r="Q597" s="465"/>
      <c r="R597" s="465"/>
      <c r="S597" s="465"/>
      <c r="T597" s="465"/>
      <c r="U597" s="465">
        <v>14700</v>
      </c>
      <c r="V597" s="465"/>
      <c r="W597" s="465"/>
      <c r="X597" s="465"/>
      <c r="Y597" s="465"/>
      <c r="Z597" s="465"/>
      <c r="AA597" s="407">
        <f t="shared" si="73"/>
        <v>14700</v>
      </c>
      <c r="AB597" s="64"/>
      <c r="AC597" s="500"/>
      <c r="AD597" s="516">
        <v>14700</v>
      </c>
      <c r="AE597" s="510"/>
      <c r="AF597" s="510"/>
      <c r="AG597" s="510"/>
      <c r="AH597" s="688"/>
      <c r="AI597" s="64"/>
      <c r="AJ597" s="64"/>
      <c r="AK597" s="64"/>
      <c r="AL597" s="64"/>
      <c r="AM597" s="64"/>
      <c r="AN597" s="64"/>
      <c r="AO597" s="64"/>
      <c r="AP597" s="64"/>
      <c r="AQ597" s="64"/>
      <c r="AR597" s="64"/>
      <c r="AS597" s="64"/>
      <c r="AT597" s="64"/>
      <c r="AU597" s="64"/>
      <c r="AV597" s="64"/>
      <c r="AW597" s="64"/>
      <c r="AX597" s="64"/>
      <c r="AY597" s="64"/>
      <c r="AZ597" s="64"/>
      <c r="BA597" s="64"/>
      <c r="BB597" s="64"/>
      <c r="BC597" s="64"/>
      <c r="BD597" s="64"/>
      <c r="BE597" s="64"/>
      <c r="BF597" s="64"/>
      <c r="BG597" s="64"/>
      <c r="BH597" s="64"/>
      <c r="BI597" s="64"/>
      <c r="BJ597" s="64"/>
    </row>
    <row r="598" spans="1:34" ht="15.75">
      <c r="A598" s="588"/>
      <c r="B598" s="607"/>
      <c r="C598" s="205"/>
      <c r="D598" s="13" t="s">
        <v>303</v>
      </c>
      <c r="E598" s="142"/>
      <c r="F598" s="143"/>
      <c r="G598" s="142"/>
      <c r="H598" s="417"/>
      <c r="I598" s="49">
        <f>SUM(I599:I603)</f>
        <v>40000</v>
      </c>
      <c r="J598" s="372">
        <f>SUM(J599:J603)</f>
        <v>0</v>
      </c>
      <c r="K598" s="372">
        <f>SUM(K599:K603)</f>
        <v>0</v>
      </c>
      <c r="L598" s="49">
        <f>SUM(L599:L603)</f>
        <v>40000</v>
      </c>
      <c r="M598" s="49">
        <f aca="true" t="shared" si="80" ref="M598:Y598">SUM(M599:M603)</f>
        <v>0</v>
      </c>
      <c r="N598" s="49">
        <f t="shared" si="80"/>
        <v>0</v>
      </c>
      <c r="O598" s="49">
        <f t="shared" si="80"/>
        <v>0</v>
      </c>
      <c r="P598" s="49">
        <f t="shared" si="80"/>
        <v>0</v>
      </c>
      <c r="Q598" s="49">
        <f t="shared" si="80"/>
        <v>0</v>
      </c>
      <c r="R598" s="49">
        <f t="shared" si="80"/>
        <v>0</v>
      </c>
      <c r="S598" s="49">
        <f t="shared" si="80"/>
        <v>0</v>
      </c>
      <c r="T598" s="49">
        <f t="shared" si="80"/>
        <v>0</v>
      </c>
      <c r="U598" s="49">
        <f t="shared" si="80"/>
        <v>40000</v>
      </c>
      <c r="V598" s="49">
        <f t="shared" si="80"/>
        <v>0</v>
      </c>
      <c r="W598" s="49">
        <f t="shared" si="80"/>
        <v>0</v>
      </c>
      <c r="X598" s="49">
        <f t="shared" si="80"/>
        <v>0</v>
      </c>
      <c r="Y598" s="49">
        <f t="shared" si="80"/>
        <v>0</v>
      </c>
      <c r="Z598" s="407"/>
      <c r="AA598" s="407">
        <f t="shared" si="73"/>
        <v>40000</v>
      </c>
      <c r="AC598" s="499"/>
      <c r="AD598" s="513"/>
      <c r="AE598" s="508"/>
      <c r="AF598" s="508"/>
      <c r="AG598" s="508"/>
      <c r="AH598" s="508"/>
    </row>
    <row r="599" spans="1:62" s="253" customFormat="1" ht="15.75">
      <c r="A599" s="588"/>
      <c r="B599" s="607"/>
      <c r="C599" s="252"/>
      <c r="D599" s="346" t="s">
        <v>1918</v>
      </c>
      <c r="E599" s="199"/>
      <c r="F599" s="200"/>
      <c r="G599" s="199"/>
      <c r="H599" s="417">
        <v>3110</v>
      </c>
      <c r="I599" s="201">
        <v>8000</v>
      </c>
      <c r="J599" s="201"/>
      <c r="K599" s="201"/>
      <c r="L599" s="469">
        <v>8000</v>
      </c>
      <c r="M599" s="201"/>
      <c r="N599" s="465"/>
      <c r="O599" s="465"/>
      <c r="P599" s="465"/>
      <c r="Q599" s="465"/>
      <c r="R599" s="465"/>
      <c r="S599" s="465"/>
      <c r="T599" s="465"/>
      <c r="U599" s="465">
        <v>8000</v>
      </c>
      <c r="V599" s="465"/>
      <c r="W599" s="465"/>
      <c r="X599" s="465"/>
      <c r="Y599" s="465"/>
      <c r="Z599" s="465"/>
      <c r="AA599" s="407">
        <f t="shared" si="73"/>
        <v>8000</v>
      </c>
      <c r="AB599" s="64"/>
      <c r="AC599" s="500"/>
      <c r="AD599" s="516">
        <v>8000</v>
      </c>
      <c r="AE599" s="510"/>
      <c r="AF599" s="510"/>
      <c r="AG599" s="510"/>
      <c r="AH599" s="686" t="s">
        <v>1520</v>
      </c>
      <c r="AI599" s="64"/>
      <c r="AJ599" s="64"/>
      <c r="AK599" s="64"/>
      <c r="AL599" s="64"/>
      <c r="AM599" s="64"/>
      <c r="AN599" s="64"/>
      <c r="AO599" s="64"/>
      <c r="AP599" s="64"/>
      <c r="AQ599" s="64"/>
      <c r="AR599" s="64"/>
      <c r="AS599" s="64"/>
      <c r="AT599" s="64"/>
      <c r="AU599" s="64"/>
      <c r="AV599" s="64"/>
      <c r="AW599" s="64"/>
      <c r="AX599" s="64"/>
      <c r="AY599" s="64"/>
      <c r="AZ599" s="64"/>
      <c r="BA599" s="64"/>
      <c r="BB599" s="64"/>
      <c r="BC599" s="64"/>
      <c r="BD599" s="64"/>
      <c r="BE599" s="64"/>
      <c r="BF599" s="64"/>
      <c r="BG599" s="64"/>
      <c r="BH599" s="64"/>
      <c r="BI599" s="64"/>
      <c r="BJ599" s="64"/>
    </row>
    <row r="600" spans="1:62" s="253" customFormat="1" ht="15.75">
      <c r="A600" s="588"/>
      <c r="B600" s="607"/>
      <c r="C600" s="252"/>
      <c r="D600" s="346" t="s">
        <v>113</v>
      </c>
      <c r="E600" s="199"/>
      <c r="F600" s="200"/>
      <c r="G600" s="199"/>
      <c r="H600" s="417">
        <v>3110</v>
      </c>
      <c r="I600" s="201">
        <v>8000</v>
      </c>
      <c r="J600" s="201"/>
      <c r="K600" s="201"/>
      <c r="L600" s="469">
        <v>8000</v>
      </c>
      <c r="M600" s="201"/>
      <c r="N600" s="465"/>
      <c r="O600" s="465"/>
      <c r="P600" s="465"/>
      <c r="Q600" s="465"/>
      <c r="R600" s="465"/>
      <c r="S600" s="465"/>
      <c r="T600" s="465"/>
      <c r="U600" s="465">
        <v>8000</v>
      </c>
      <c r="V600" s="465"/>
      <c r="W600" s="465"/>
      <c r="X600" s="465"/>
      <c r="Y600" s="465"/>
      <c r="Z600" s="465"/>
      <c r="AA600" s="407">
        <f t="shared" si="73"/>
        <v>8000</v>
      </c>
      <c r="AB600" s="64"/>
      <c r="AC600" s="500"/>
      <c r="AD600" s="516">
        <v>8000</v>
      </c>
      <c r="AE600" s="510"/>
      <c r="AF600" s="510"/>
      <c r="AG600" s="510"/>
      <c r="AH600" s="687"/>
      <c r="AI600" s="64"/>
      <c r="AJ600" s="64"/>
      <c r="AK600" s="64"/>
      <c r="AL600" s="64"/>
      <c r="AM600" s="64"/>
      <c r="AN600" s="64"/>
      <c r="AO600" s="64"/>
      <c r="AP600" s="64"/>
      <c r="AQ600" s="64"/>
      <c r="AR600" s="64"/>
      <c r="AS600" s="64"/>
      <c r="AT600" s="64"/>
      <c r="AU600" s="64"/>
      <c r="AV600" s="64"/>
      <c r="AW600" s="64"/>
      <c r="AX600" s="64"/>
      <c r="AY600" s="64"/>
      <c r="AZ600" s="64"/>
      <c r="BA600" s="64"/>
      <c r="BB600" s="64"/>
      <c r="BC600" s="64"/>
      <c r="BD600" s="64"/>
      <c r="BE600" s="64"/>
      <c r="BF600" s="64"/>
      <c r="BG600" s="64"/>
      <c r="BH600" s="64"/>
      <c r="BI600" s="64"/>
      <c r="BJ600" s="64"/>
    </row>
    <row r="601" spans="1:62" s="253" customFormat="1" ht="15.75">
      <c r="A601" s="588"/>
      <c r="B601" s="607"/>
      <c r="C601" s="252"/>
      <c r="D601" s="346" t="s">
        <v>774</v>
      </c>
      <c r="E601" s="199"/>
      <c r="F601" s="200"/>
      <c r="G601" s="199"/>
      <c r="H601" s="417">
        <v>3110</v>
      </c>
      <c r="I601" s="201">
        <v>8000</v>
      </c>
      <c r="J601" s="201"/>
      <c r="K601" s="201"/>
      <c r="L601" s="469">
        <v>8000</v>
      </c>
      <c r="M601" s="201"/>
      <c r="N601" s="465"/>
      <c r="O601" s="465"/>
      <c r="P601" s="465"/>
      <c r="Q601" s="465"/>
      <c r="R601" s="465"/>
      <c r="S601" s="465"/>
      <c r="T601" s="465"/>
      <c r="U601" s="465">
        <v>8000</v>
      </c>
      <c r="V601" s="465"/>
      <c r="W601" s="465"/>
      <c r="X601" s="465"/>
      <c r="Y601" s="465"/>
      <c r="Z601" s="465"/>
      <c r="AA601" s="407">
        <f t="shared" si="73"/>
        <v>8000</v>
      </c>
      <c r="AB601" s="64"/>
      <c r="AC601" s="500"/>
      <c r="AD601" s="516">
        <v>8000</v>
      </c>
      <c r="AE601" s="510"/>
      <c r="AF601" s="510"/>
      <c r="AG601" s="510"/>
      <c r="AH601" s="687"/>
      <c r="AI601" s="64"/>
      <c r="AJ601" s="64"/>
      <c r="AK601" s="64"/>
      <c r="AL601" s="64"/>
      <c r="AM601" s="64"/>
      <c r="AN601" s="64"/>
      <c r="AO601" s="64"/>
      <c r="AP601" s="64"/>
      <c r="AQ601" s="64"/>
      <c r="AR601" s="64"/>
      <c r="AS601" s="64"/>
      <c r="AT601" s="64"/>
      <c r="AU601" s="64"/>
      <c r="AV601" s="64"/>
      <c r="AW601" s="64"/>
      <c r="AX601" s="64"/>
      <c r="AY601" s="64"/>
      <c r="AZ601" s="64"/>
      <c r="BA601" s="64"/>
      <c r="BB601" s="64"/>
      <c r="BC601" s="64"/>
      <c r="BD601" s="64"/>
      <c r="BE601" s="64"/>
      <c r="BF601" s="64"/>
      <c r="BG601" s="64"/>
      <c r="BH601" s="64"/>
      <c r="BI601" s="64"/>
      <c r="BJ601" s="64"/>
    </row>
    <row r="602" spans="1:62" s="253" customFormat="1" ht="15.75">
      <c r="A602" s="588"/>
      <c r="B602" s="607"/>
      <c r="C602" s="252"/>
      <c r="D602" s="346" t="s">
        <v>1383</v>
      </c>
      <c r="E602" s="199"/>
      <c r="F602" s="200"/>
      <c r="G602" s="199"/>
      <c r="H602" s="417">
        <v>3110</v>
      </c>
      <c r="I602" s="201">
        <v>8000</v>
      </c>
      <c r="J602" s="201"/>
      <c r="K602" s="201"/>
      <c r="L602" s="469">
        <v>8000</v>
      </c>
      <c r="M602" s="201"/>
      <c r="N602" s="465"/>
      <c r="O602" s="465"/>
      <c r="P602" s="465"/>
      <c r="Q602" s="465"/>
      <c r="R602" s="465"/>
      <c r="S602" s="465"/>
      <c r="T602" s="465"/>
      <c r="U602" s="465">
        <v>8000</v>
      </c>
      <c r="V602" s="465"/>
      <c r="W602" s="465"/>
      <c r="X602" s="465"/>
      <c r="Y602" s="465"/>
      <c r="Z602" s="465"/>
      <c r="AA602" s="407">
        <f t="shared" si="73"/>
        <v>8000</v>
      </c>
      <c r="AB602" s="64"/>
      <c r="AC602" s="500"/>
      <c r="AD602" s="516">
        <v>8000</v>
      </c>
      <c r="AE602" s="510"/>
      <c r="AF602" s="510"/>
      <c r="AG602" s="510"/>
      <c r="AH602" s="687"/>
      <c r="AI602" s="64"/>
      <c r="AJ602" s="64"/>
      <c r="AK602" s="64"/>
      <c r="AL602" s="64"/>
      <c r="AM602" s="64"/>
      <c r="AN602" s="64"/>
      <c r="AO602" s="64"/>
      <c r="AP602" s="64"/>
      <c r="AQ602" s="64"/>
      <c r="AR602" s="64"/>
      <c r="AS602" s="64"/>
      <c r="AT602" s="64"/>
      <c r="AU602" s="64"/>
      <c r="AV602" s="64"/>
      <c r="AW602" s="64"/>
      <c r="AX602" s="64"/>
      <c r="AY602" s="64"/>
      <c r="AZ602" s="64"/>
      <c r="BA602" s="64"/>
      <c r="BB602" s="64"/>
      <c r="BC602" s="64"/>
      <c r="BD602" s="64"/>
      <c r="BE602" s="64"/>
      <c r="BF602" s="64"/>
      <c r="BG602" s="64"/>
      <c r="BH602" s="64"/>
      <c r="BI602" s="64"/>
      <c r="BJ602" s="64"/>
    </row>
    <row r="603" spans="1:62" s="253" customFormat="1" ht="15.75">
      <c r="A603" s="588"/>
      <c r="B603" s="607"/>
      <c r="C603" s="252"/>
      <c r="D603" s="346" t="s">
        <v>2067</v>
      </c>
      <c r="E603" s="199"/>
      <c r="F603" s="200"/>
      <c r="G603" s="199"/>
      <c r="H603" s="417">
        <v>3210</v>
      </c>
      <c r="I603" s="201">
        <v>8000</v>
      </c>
      <c r="J603" s="201"/>
      <c r="K603" s="201"/>
      <c r="L603" s="469">
        <v>8000</v>
      </c>
      <c r="M603" s="201"/>
      <c r="N603" s="465"/>
      <c r="O603" s="465"/>
      <c r="P603" s="465"/>
      <c r="Q603" s="465"/>
      <c r="R603" s="465"/>
      <c r="S603" s="465"/>
      <c r="T603" s="465"/>
      <c r="U603" s="465">
        <v>8000</v>
      </c>
      <c r="V603" s="465"/>
      <c r="W603" s="465"/>
      <c r="X603" s="465"/>
      <c r="Y603" s="465"/>
      <c r="Z603" s="465"/>
      <c r="AA603" s="407">
        <f t="shared" si="73"/>
        <v>8000</v>
      </c>
      <c r="AB603" s="64"/>
      <c r="AC603" s="500"/>
      <c r="AD603" s="516">
        <v>8000</v>
      </c>
      <c r="AE603" s="510"/>
      <c r="AF603" s="510"/>
      <c r="AG603" s="510"/>
      <c r="AH603" s="688"/>
      <c r="AI603" s="64"/>
      <c r="AJ603" s="64"/>
      <c r="AK603" s="64"/>
      <c r="AL603" s="64"/>
      <c r="AM603" s="64"/>
      <c r="AN603" s="64"/>
      <c r="AO603" s="64"/>
      <c r="AP603" s="64"/>
      <c r="AQ603" s="64"/>
      <c r="AR603" s="64"/>
      <c r="AS603" s="64"/>
      <c r="AT603" s="64"/>
      <c r="AU603" s="64"/>
      <c r="AV603" s="64"/>
      <c r="AW603" s="64"/>
      <c r="AX603" s="64"/>
      <c r="AY603" s="64"/>
      <c r="AZ603" s="64"/>
      <c r="BA603" s="64"/>
      <c r="BB603" s="64"/>
      <c r="BC603" s="64"/>
      <c r="BD603" s="64"/>
      <c r="BE603" s="64"/>
      <c r="BF603" s="64"/>
      <c r="BG603" s="64"/>
      <c r="BH603" s="64"/>
      <c r="BI603" s="64"/>
      <c r="BJ603" s="64"/>
    </row>
    <row r="604" spans="1:34" ht="47.25">
      <c r="A604" s="588"/>
      <c r="B604" s="607"/>
      <c r="C604" s="205"/>
      <c r="D604" s="13" t="s">
        <v>1719</v>
      </c>
      <c r="E604" s="199"/>
      <c r="F604" s="200"/>
      <c r="G604" s="199"/>
      <c r="H604" s="417">
        <v>3132</v>
      </c>
      <c r="I604" s="144">
        <f>2980000+381.8-185981.8</f>
        <v>2794400</v>
      </c>
      <c r="J604" s="201"/>
      <c r="K604" s="201"/>
      <c r="L604" s="470">
        <v>2980000</v>
      </c>
      <c r="M604" s="201"/>
      <c r="N604" s="407"/>
      <c r="O604" s="407"/>
      <c r="P604" s="407"/>
      <c r="Q604" s="407"/>
      <c r="R604" s="407">
        <v>5112</v>
      </c>
      <c r="S604" s="407">
        <f>894000-5112-180512</f>
        <v>708376</v>
      </c>
      <c r="T604" s="407">
        <f>1043000-70100</f>
        <v>972900</v>
      </c>
      <c r="U604" s="407">
        <v>381.8</v>
      </c>
      <c r="V604" s="407"/>
      <c r="W604" s="407">
        <f>1043000-1043000</f>
        <v>0</v>
      </c>
      <c r="X604" s="407">
        <f>1043000-185981.8</f>
        <v>857018.2</v>
      </c>
      <c r="Y604" s="407">
        <f>180512+70100</f>
        <v>250612</v>
      </c>
      <c r="Z604" s="407">
        <f>5112+834014.88</f>
        <v>839126.88</v>
      </c>
      <c r="AA604" s="407">
        <f t="shared" si="73"/>
        <v>1704661.12</v>
      </c>
      <c r="AC604" s="499"/>
      <c r="AD604" s="513">
        <v>2794400</v>
      </c>
      <c r="AE604" s="508">
        <v>3904960</v>
      </c>
      <c r="AF604" s="507" t="s">
        <v>1398</v>
      </c>
      <c r="AG604" s="507" t="s">
        <v>1127</v>
      </c>
      <c r="AH604" s="507" t="s">
        <v>1399</v>
      </c>
    </row>
    <row r="605" spans="1:34" ht="76.5">
      <c r="A605" s="588"/>
      <c r="B605" s="607"/>
      <c r="C605" s="205"/>
      <c r="D605" s="13" t="s">
        <v>1720</v>
      </c>
      <c r="E605" s="142"/>
      <c r="F605" s="143"/>
      <c r="G605" s="142"/>
      <c r="H605" s="417">
        <v>3132</v>
      </c>
      <c r="I605" s="144">
        <f>180000-22543.48</f>
        <v>157456.52</v>
      </c>
      <c r="J605" s="201"/>
      <c r="K605" s="144"/>
      <c r="L605" s="470">
        <v>180000</v>
      </c>
      <c r="M605" s="201"/>
      <c r="N605" s="407"/>
      <c r="O605" s="407"/>
      <c r="P605" s="407"/>
      <c r="Q605" s="407"/>
      <c r="R605" s="407">
        <v>54000</v>
      </c>
      <c r="S605" s="407">
        <v>126000</v>
      </c>
      <c r="T605" s="407"/>
      <c r="U605" s="407"/>
      <c r="V605" s="407"/>
      <c r="W605" s="407"/>
      <c r="X605" s="407">
        <v>-22543.48</v>
      </c>
      <c r="Y605" s="407"/>
      <c r="Z605" s="407">
        <f>53360.12+104096.4</f>
        <v>157456.52</v>
      </c>
      <c r="AA605" s="407">
        <f t="shared" si="73"/>
        <v>0</v>
      </c>
      <c r="AC605" s="499"/>
      <c r="AD605" s="513">
        <v>180000</v>
      </c>
      <c r="AE605" s="508">
        <v>157456.7</v>
      </c>
      <c r="AF605" s="507" t="s">
        <v>1199</v>
      </c>
      <c r="AG605" s="507" t="s">
        <v>1127</v>
      </c>
      <c r="AH605" s="507" t="s">
        <v>1128</v>
      </c>
    </row>
    <row r="606" spans="1:34" ht="31.5">
      <c r="A606" s="588"/>
      <c r="B606" s="607"/>
      <c r="C606" s="205"/>
      <c r="D606" s="141" t="s">
        <v>1721</v>
      </c>
      <c r="E606" s="142"/>
      <c r="F606" s="143"/>
      <c r="G606" s="142"/>
      <c r="H606" s="417">
        <v>3210</v>
      </c>
      <c r="I606" s="144">
        <v>677330</v>
      </c>
      <c r="J606" s="201"/>
      <c r="K606" s="144"/>
      <c r="L606" s="470">
        <v>677330</v>
      </c>
      <c r="M606" s="201"/>
      <c r="N606" s="407"/>
      <c r="O606" s="407"/>
      <c r="P606" s="407"/>
      <c r="Q606" s="407"/>
      <c r="R606" s="407">
        <f>203200+852+149159.24</f>
        <v>353211.24</v>
      </c>
      <c r="S606" s="407">
        <f>338700-149159.24</f>
        <v>189540.76</v>
      </c>
      <c r="T606" s="407">
        <f>135430-852</f>
        <v>134578</v>
      </c>
      <c r="U606" s="407"/>
      <c r="V606" s="407"/>
      <c r="W606" s="407"/>
      <c r="X606" s="407"/>
      <c r="Y606" s="407"/>
      <c r="Z606" s="407">
        <f>353211.24+120005.52-2377.87</f>
        <v>470838.89</v>
      </c>
      <c r="AA606" s="407">
        <f t="shared" si="73"/>
        <v>206491.11</v>
      </c>
      <c r="AC606" s="499"/>
      <c r="AD606" s="513">
        <v>677330</v>
      </c>
      <c r="AE606" s="508">
        <v>880919.54</v>
      </c>
      <c r="AF606" s="507" t="s">
        <v>1200</v>
      </c>
      <c r="AG606" s="507" t="s">
        <v>1127</v>
      </c>
      <c r="AH606" s="507" t="s">
        <v>1128</v>
      </c>
    </row>
    <row r="607" spans="1:34" ht="89.25">
      <c r="A607" s="588"/>
      <c r="B607" s="607"/>
      <c r="C607" s="205"/>
      <c r="D607" s="13" t="s">
        <v>1021</v>
      </c>
      <c r="E607" s="142"/>
      <c r="F607" s="143"/>
      <c r="G607" s="142"/>
      <c r="H607" s="417">
        <v>3132</v>
      </c>
      <c r="I607" s="144">
        <f>250000-2022.33</f>
        <v>247977.67</v>
      </c>
      <c r="J607" s="201"/>
      <c r="K607" s="144"/>
      <c r="L607" s="470">
        <v>250000</v>
      </c>
      <c r="M607" s="201"/>
      <c r="N607" s="407"/>
      <c r="O607" s="407"/>
      <c r="P607" s="407"/>
      <c r="Q607" s="407"/>
      <c r="R607" s="407">
        <v>75000</v>
      </c>
      <c r="S607" s="407">
        <v>175000</v>
      </c>
      <c r="T607" s="407"/>
      <c r="U607" s="407"/>
      <c r="V607" s="407"/>
      <c r="W607" s="407"/>
      <c r="X607" s="407">
        <v>-2022.33</v>
      </c>
      <c r="Y607" s="407"/>
      <c r="Z607" s="407">
        <f>76394.99+171582.68</f>
        <v>247977.67</v>
      </c>
      <c r="AA607" s="407">
        <f t="shared" si="73"/>
        <v>0</v>
      </c>
      <c r="AC607" s="499"/>
      <c r="AD607" s="513">
        <v>250000</v>
      </c>
      <c r="AE607" s="508">
        <v>247977.67</v>
      </c>
      <c r="AF607" s="507" t="s">
        <v>539</v>
      </c>
      <c r="AG607" s="507" t="s">
        <v>1127</v>
      </c>
      <c r="AH607" s="507" t="s">
        <v>1128</v>
      </c>
    </row>
    <row r="608" spans="1:34" ht="76.5">
      <c r="A608" s="588"/>
      <c r="B608" s="607"/>
      <c r="C608" s="205"/>
      <c r="D608" s="13" t="s">
        <v>1022</v>
      </c>
      <c r="E608" s="142"/>
      <c r="F608" s="143"/>
      <c r="G608" s="142"/>
      <c r="H608" s="417">
        <v>3132</v>
      </c>
      <c r="I608" s="144">
        <f>200000-2045.22</f>
        <v>197954.78</v>
      </c>
      <c r="J608" s="201"/>
      <c r="K608" s="144"/>
      <c r="L608" s="470">
        <v>200000</v>
      </c>
      <c r="M608" s="201"/>
      <c r="N608" s="407"/>
      <c r="O608" s="407"/>
      <c r="P608" s="407"/>
      <c r="Q608" s="407"/>
      <c r="R608" s="407">
        <v>60000</v>
      </c>
      <c r="S608" s="407">
        <v>140000</v>
      </c>
      <c r="T608" s="407"/>
      <c r="U608" s="407"/>
      <c r="V608" s="407"/>
      <c r="W608" s="407"/>
      <c r="X608" s="407">
        <v>-2045.22</v>
      </c>
      <c r="Y608" s="407"/>
      <c r="Z608" s="407">
        <f>61292.98+136661.8</f>
        <v>197954.78</v>
      </c>
      <c r="AA608" s="407">
        <f t="shared" si="73"/>
        <v>0</v>
      </c>
      <c r="AC608" s="499"/>
      <c r="AD608" s="513">
        <v>200000</v>
      </c>
      <c r="AE608" s="508">
        <v>198073.82</v>
      </c>
      <c r="AF608" s="507" t="s">
        <v>540</v>
      </c>
      <c r="AG608" s="507" t="s">
        <v>1127</v>
      </c>
      <c r="AH608" s="507" t="s">
        <v>1128</v>
      </c>
    </row>
    <row r="609" spans="1:34" ht="31.5" hidden="1">
      <c r="A609" s="588"/>
      <c r="B609" s="607"/>
      <c r="C609" s="205"/>
      <c r="D609" s="13" t="s">
        <v>1023</v>
      </c>
      <c r="E609" s="142"/>
      <c r="F609" s="143"/>
      <c r="G609" s="142"/>
      <c r="H609" s="417">
        <v>3132</v>
      </c>
      <c r="I609" s="144">
        <f>53120-53120</f>
        <v>0</v>
      </c>
      <c r="J609" s="201"/>
      <c r="K609" s="144"/>
      <c r="L609" s="470">
        <v>53120</v>
      </c>
      <c r="M609" s="201"/>
      <c r="N609" s="407"/>
      <c r="O609" s="407"/>
      <c r="P609" s="407"/>
      <c r="Q609" s="407"/>
      <c r="R609" s="407"/>
      <c r="S609" s="407"/>
      <c r="T609" s="407"/>
      <c r="U609" s="407"/>
      <c r="V609" s="407"/>
      <c r="W609" s="407"/>
      <c r="X609" s="407">
        <f>16000-16000</f>
        <v>0</v>
      </c>
      <c r="Y609" s="407">
        <f>37120-37120</f>
        <v>0</v>
      </c>
      <c r="Z609" s="407"/>
      <c r="AA609" s="407">
        <f t="shared" si="73"/>
        <v>0</v>
      </c>
      <c r="AC609" s="499"/>
      <c r="AD609" s="513">
        <v>53120</v>
      </c>
      <c r="AE609" s="508">
        <v>53120</v>
      </c>
      <c r="AF609" s="508"/>
      <c r="AG609" s="508"/>
      <c r="AH609" s="507" t="s">
        <v>1128</v>
      </c>
    </row>
    <row r="610" spans="1:34" ht="31.5">
      <c r="A610" s="588"/>
      <c r="B610" s="607"/>
      <c r="C610" s="205"/>
      <c r="D610" s="13" t="s">
        <v>1024</v>
      </c>
      <c r="E610" s="142"/>
      <c r="F610" s="143"/>
      <c r="G610" s="142"/>
      <c r="H610" s="417">
        <v>3132</v>
      </c>
      <c r="I610" s="144">
        <f>31760-5245.5</f>
        <v>26514.5</v>
      </c>
      <c r="J610" s="201"/>
      <c r="K610" s="144"/>
      <c r="L610" s="470">
        <v>31760</v>
      </c>
      <c r="M610" s="201"/>
      <c r="N610" s="407"/>
      <c r="O610" s="407"/>
      <c r="P610" s="407"/>
      <c r="Q610" s="407"/>
      <c r="R610" s="407">
        <v>9530</v>
      </c>
      <c r="S610" s="407">
        <v>22230</v>
      </c>
      <c r="T610" s="407"/>
      <c r="U610" s="407"/>
      <c r="V610" s="407"/>
      <c r="W610" s="407"/>
      <c r="X610" s="407">
        <v>-5245.5</v>
      </c>
      <c r="Y610" s="407"/>
      <c r="Z610" s="407">
        <f>8422.37+18092.13</f>
        <v>26514.5</v>
      </c>
      <c r="AA610" s="407">
        <f t="shared" si="73"/>
        <v>0</v>
      </c>
      <c r="AC610" s="499"/>
      <c r="AD610" s="513">
        <v>31760</v>
      </c>
      <c r="AE610" s="508">
        <v>26118.5</v>
      </c>
      <c r="AF610" s="507" t="s">
        <v>541</v>
      </c>
      <c r="AG610" s="508"/>
      <c r="AH610" s="507" t="s">
        <v>1128</v>
      </c>
    </row>
    <row r="611" spans="1:34" ht="31.5">
      <c r="A611" s="588"/>
      <c r="B611" s="607"/>
      <c r="C611" s="205"/>
      <c r="D611" s="13" t="s">
        <v>1384</v>
      </c>
      <c r="E611" s="142"/>
      <c r="F611" s="143"/>
      <c r="G611" s="142"/>
      <c r="H611" s="417">
        <v>3110</v>
      </c>
      <c r="I611" s="144">
        <f>22320-1380</f>
        <v>20940</v>
      </c>
      <c r="J611" s="201"/>
      <c r="K611" s="144"/>
      <c r="L611" s="470">
        <v>22320</v>
      </c>
      <c r="M611" s="201"/>
      <c r="N611" s="407"/>
      <c r="O611" s="407"/>
      <c r="P611" s="407"/>
      <c r="Q611" s="407"/>
      <c r="R611" s="407"/>
      <c r="S611" s="407"/>
      <c r="T611" s="407"/>
      <c r="U611" s="407">
        <v>22320</v>
      </c>
      <c r="V611" s="407"/>
      <c r="W611" s="407"/>
      <c r="X611" s="407">
        <v>-1380</v>
      </c>
      <c r="Y611" s="407"/>
      <c r="Z611" s="407">
        <v>20940</v>
      </c>
      <c r="AA611" s="407">
        <f aca="true" t="shared" si="81" ref="AA611:AA675">N611+O611+P611+Q611+R611+S611+T611+U611+V611+W611+X611-Z611</f>
        <v>0</v>
      </c>
      <c r="AC611" s="499"/>
      <c r="AD611" s="513">
        <v>22320</v>
      </c>
      <c r="AE611" s="508"/>
      <c r="AF611" s="507" t="s">
        <v>2086</v>
      </c>
      <c r="AG611" s="508"/>
      <c r="AH611" s="507" t="s">
        <v>1520</v>
      </c>
    </row>
    <row r="612" spans="1:34" ht="31.5">
      <c r="A612" s="588"/>
      <c r="B612" s="607"/>
      <c r="C612" s="205"/>
      <c r="D612" s="66" t="s">
        <v>2105</v>
      </c>
      <c r="E612" s="142"/>
      <c r="F612" s="143"/>
      <c r="G612" s="142"/>
      <c r="H612" s="417"/>
      <c r="I612" s="254">
        <f>SUM(I613:I616)</f>
        <v>2111048.15</v>
      </c>
      <c r="J612" s="373">
        <f>SUM(J613:J616)</f>
        <v>0</v>
      </c>
      <c r="K612" s="373">
        <f>SUM(K613:K616)</f>
        <v>0</v>
      </c>
      <c r="L612" s="254">
        <f>SUM(L613:L616)</f>
        <v>2320520</v>
      </c>
      <c r="M612" s="254">
        <f aca="true" t="shared" si="82" ref="M612:Z612">SUM(M613:M616)</f>
        <v>0</v>
      </c>
      <c r="N612" s="254">
        <f t="shared" si="82"/>
        <v>0</v>
      </c>
      <c r="O612" s="254">
        <f t="shared" si="82"/>
        <v>0</v>
      </c>
      <c r="P612" s="254">
        <f t="shared" si="82"/>
        <v>0</v>
      </c>
      <c r="Q612" s="254">
        <f t="shared" si="82"/>
        <v>0</v>
      </c>
      <c r="R612" s="254">
        <f t="shared" si="82"/>
        <v>0</v>
      </c>
      <c r="S612" s="254">
        <f t="shared" si="82"/>
        <v>0</v>
      </c>
      <c r="T612" s="254">
        <f t="shared" si="82"/>
        <v>0</v>
      </c>
      <c r="U612" s="254">
        <f t="shared" si="82"/>
        <v>1047520</v>
      </c>
      <c r="V612" s="254">
        <f t="shared" si="82"/>
        <v>450000</v>
      </c>
      <c r="W612" s="254">
        <f t="shared" si="82"/>
        <v>823000</v>
      </c>
      <c r="X612" s="254">
        <f t="shared" si="82"/>
        <v>-209471.85</v>
      </c>
      <c r="Y612" s="254">
        <f t="shared" si="82"/>
        <v>0</v>
      </c>
      <c r="Z612" s="254">
        <f t="shared" si="82"/>
        <v>47450</v>
      </c>
      <c r="AA612" s="407">
        <f t="shared" si="81"/>
        <v>2063598.15</v>
      </c>
      <c r="AC612" s="499"/>
      <c r="AD612" s="513"/>
      <c r="AE612" s="508"/>
      <c r="AF612" s="508"/>
      <c r="AG612" s="508"/>
      <c r="AH612" s="508"/>
    </row>
    <row r="613" spans="1:62" s="253" customFormat="1" ht="15.75" customHeight="1">
      <c r="A613" s="588"/>
      <c r="B613" s="607"/>
      <c r="C613" s="252"/>
      <c r="D613" s="351" t="s">
        <v>2106</v>
      </c>
      <c r="E613" s="199"/>
      <c r="F613" s="200"/>
      <c r="G613" s="199"/>
      <c r="H613" s="417">
        <v>3110</v>
      </c>
      <c r="I613" s="201">
        <f>650000-80800</f>
        <v>569200</v>
      </c>
      <c r="J613" s="201"/>
      <c r="K613" s="201"/>
      <c r="L613" s="469">
        <v>650000</v>
      </c>
      <c r="M613" s="201"/>
      <c r="N613" s="465"/>
      <c r="O613" s="465"/>
      <c r="P613" s="465"/>
      <c r="Q613" s="465"/>
      <c r="R613" s="465"/>
      <c r="S613" s="465"/>
      <c r="T613" s="465"/>
      <c r="U613" s="465">
        <v>200000</v>
      </c>
      <c r="V613" s="465">
        <v>450000</v>
      </c>
      <c r="W613" s="465"/>
      <c r="X613" s="465">
        <v>-80800</v>
      </c>
      <c r="Y613" s="465"/>
      <c r="Z613" s="465"/>
      <c r="AA613" s="407">
        <f t="shared" si="81"/>
        <v>569200</v>
      </c>
      <c r="AB613" s="64"/>
      <c r="AC613" s="500"/>
      <c r="AD613" s="516">
        <v>650000</v>
      </c>
      <c r="AE613" s="510"/>
      <c r="AF613" s="510"/>
      <c r="AG613" s="510"/>
      <c r="AH613" s="686" t="s">
        <v>1520</v>
      </c>
      <c r="AI613" s="64"/>
      <c r="AJ613" s="64"/>
      <c r="AK613" s="64"/>
      <c r="AL613" s="64"/>
      <c r="AM613" s="64"/>
      <c r="AN613" s="64"/>
      <c r="AO613" s="64"/>
      <c r="AP613" s="64"/>
      <c r="AQ613" s="64"/>
      <c r="AR613" s="64"/>
      <c r="AS613" s="64"/>
      <c r="AT613" s="64"/>
      <c r="AU613" s="64"/>
      <c r="AV613" s="64"/>
      <c r="AW613" s="64"/>
      <c r="AX613" s="64"/>
      <c r="AY613" s="64"/>
      <c r="AZ613" s="64"/>
      <c r="BA613" s="64"/>
      <c r="BB613" s="64"/>
      <c r="BC613" s="64"/>
      <c r="BD613" s="64"/>
      <c r="BE613" s="64"/>
      <c r="BF613" s="64"/>
      <c r="BG613" s="64"/>
      <c r="BH613" s="64"/>
      <c r="BI613" s="64"/>
      <c r="BJ613" s="64"/>
    </row>
    <row r="614" spans="1:62" s="253" customFormat="1" ht="15.75">
      <c r="A614" s="662"/>
      <c r="B614" s="644"/>
      <c r="C614" s="252"/>
      <c r="D614" s="351" t="s">
        <v>2107</v>
      </c>
      <c r="E614" s="199"/>
      <c r="F614" s="200"/>
      <c r="G614" s="199"/>
      <c r="H614" s="417">
        <v>3110</v>
      </c>
      <c r="I614" s="201">
        <f>823000-128671.85</f>
        <v>694328.15</v>
      </c>
      <c r="J614" s="201"/>
      <c r="K614" s="201"/>
      <c r="L614" s="469">
        <v>823000</v>
      </c>
      <c r="M614" s="201"/>
      <c r="N614" s="465"/>
      <c r="O614" s="465"/>
      <c r="P614" s="465"/>
      <c r="Q614" s="465"/>
      <c r="R614" s="465"/>
      <c r="S614" s="465"/>
      <c r="T614" s="465"/>
      <c r="U614" s="465"/>
      <c r="V614" s="465"/>
      <c r="W614" s="465">
        <v>823000</v>
      </c>
      <c r="X614" s="465">
        <v>-128671.85</v>
      </c>
      <c r="Y614" s="465"/>
      <c r="Z614" s="465"/>
      <c r="AA614" s="407">
        <f t="shared" si="81"/>
        <v>694328.15</v>
      </c>
      <c r="AB614" s="64"/>
      <c r="AC614" s="500"/>
      <c r="AD614" s="516">
        <v>823000</v>
      </c>
      <c r="AE614" s="510"/>
      <c r="AF614" s="510"/>
      <c r="AG614" s="510"/>
      <c r="AH614" s="687"/>
      <c r="AI614" s="64"/>
      <c r="AJ614" s="64"/>
      <c r="AK614" s="64"/>
      <c r="AL614" s="64"/>
      <c r="AM614" s="64"/>
      <c r="AN614" s="64"/>
      <c r="AO614" s="64"/>
      <c r="AP614" s="64"/>
      <c r="AQ614" s="64"/>
      <c r="AR614" s="64"/>
      <c r="AS614" s="64"/>
      <c r="AT614" s="64"/>
      <c r="AU614" s="64"/>
      <c r="AV614" s="64"/>
      <c r="AW614" s="64"/>
      <c r="AX614" s="64"/>
      <c r="AY614" s="64"/>
      <c r="AZ614" s="64"/>
      <c r="BA614" s="64"/>
      <c r="BB614" s="64"/>
      <c r="BC614" s="64"/>
      <c r="BD614" s="64"/>
      <c r="BE614" s="64"/>
      <c r="BF614" s="64"/>
      <c r="BG614" s="64"/>
      <c r="BH614" s="64"/>
      <c r="BI614" s="64"/>
      <c r="BJ614" s="64"/>
    </row>
    <row r="615" spans="1:62" s="253" customFormat="1" ht="38.25">
      <c r="A615" s="662"/>
      <c r="B615" s="644"/>
      <c r="C615" s="252"/>
      <c r="D615" s="351" t="s">
        <v>2108</v>
      </c>
      <c r="E615" s="199"/>
      <c r="F615" s="200"/>
      <c r="G615" s="199"/>
      <c r="H615" s="417">
        <v>3110</v>
      </c>
      <c r="I615" s="201">
        <v>47520</v>
      </c>
      <c r="J615" s="201"/>
      <c r="K615" s="201"/>
      <c r="L615" s="469">
        <v>47520</v>
      </c>
      <c r="M615" s="201"/>
      <c r="N615" s="465"/>
      <c r="O615" s="465"/>
      <c r="P615" s="465"/>
      <c r="Q615" s="465"/>
      <c r="R615" s="465"/>
      <c r="S615" s="465"/>
      <c r="T615" s="465"/>
      <c r="U615" s="465">
        <v>47520</v>
      </c>
      <c r="V615" s="465"/>
      <c r="W615" s="465"/>
      <c r="X615" s="465"/>
      <c r="Y615" s="465"/>
      <c r="Z615" s="465">
        <v>47450</v>
      </c>
      <c r="AA615" s="407">
        <f t="shared" si="81"/>
        <v>70</v>
      </c>
      <c r="AB615" s="64"/>
      <c r="AC615" s="500"/>
      <c r="AD615" s="516">
        <v>47520</v>
      </c>
      <c r="AE615" s="510"/>
      <c r="AF615" s="510" t="s">
        <v>2087</v>
      </c>
      <c r="AG615" s="510"/>
      <c r="AH615" s="546" t="s">
        <v>1128</v>
      </c>
      <c r="AI615" s="64"/>
      <c r="AJ615" s="64"/>
      <c r="AK615" s="64"/>
      <c r="AL615" s="64"/>
      <c r="AM615" s="64"/>
      <c r="AN615" s="64"/>
      <c r="AO615" s="64"/>
      <c r="AP615" s="64"/>
      <c r="AQ615" s="64"/>
      <c r="AR615" s="64"/>
      <c r="AS615" s="64"/>
      <c r="AT615" s="64"/>
      <c r="AU615" s="64"/>
      <c r="AV615" s="64"/>
      <c r="AW615" s="64"/>
      <c r="AX615" s="64"/>
      <c r="AY615" s="64"/>
      <c r="AZ615" s="64"/>
      <c r="BA615" s="64"/>
      <c r="BB615" s="64"/>
      <c r="BC615" s="64"/>
      <c r="BD615" s="64"/>
      <c r="BE615" s="64"/>
      <c r="BF615" s="64"/>
      <c r="BG615" s="64"/>
      <c r="BH615" s="64"/>
      <c r="BI615" s="64"/>
      <c r="BJ615" s="64"/>
    </row>
    <row r="616" spans="1:62" s="253" customFormat="1" ht="25.5">
      <c r="A616" s="662"/>
      <c r="B616" s="644"/>
      <c r="C616" s="252"/>
      <c r="D616" s="351" t="s">
        <v>2109</v>
      </c>
      <c r="E616" s="199"/>
      <c r="F616" s="200"/>
      <c r="G616" s="199"/>
      <c r="H616" s="417">
        <v>3110</v>
      </c>
      <c r="I616" s="201">
        <v>800000</v>
      </c>
      <c r="J616" s="201"/>
      <c r="K616" s="201"/>
      <c r="L616" s="469">
        <v>800000</v>
      </c>
      <c r="M616" s="201"/>
      <c r="N616" s="465"/>
      <c r="O616" s="465"/>
      <c r="P616" s="465"/>
      <c r="Q616" s="465"/>
      <c r="R616" s="465"/>
      <c r="S616" s="465"/>
      <c r="T616" s="465"/>
      <c r="U616" s="465">
        <v>800000</v>
      </c>
      <c r="V616" s="465"/>
      <c r="W616" s="465"/>
      <c r="X616" s="465"/>
      <c r="Y616" s="465"/>
      <c r="Z616" s="465"/>
      <c r="AA616" s="407">
        <f t="shared" si="81"/>
        <v>800000</v>
      </c>
      <c r="AB616" s="64"/>
      <c r="AC616" s="500"/>
      <c r="AD616" s="516">
        <v>800000</v>
      </c>
      <c r="AE616" s="510"/>
      <c r="AF616" s="510"/>
      <c r="AG616" s="510"/>
      <c r="AH616" s="507" t="s">
        <v>1520</v>
      </c>
      <c r="AI616" s="64"/>
      <c r="AJ616" s="64"/>
      <c r="AK616" s="64"/>
      <c r="AL616" s="64"/>
      <c r="AM616" s="64"/>
      <c r="AN616" s="64"/>
      <c r="AO616" s="64"/>
      <c r="AP616" s="64"/>
      <c r="AQ616" s="64"/>
      <c r="AR616" s="64"/>
      <c r="AS616" s="64"/>
      <c r="AT616" s="64"/>
      <c r="AU616" s="64"/>
      <c r="AV616" s="64"/>
      <c r="AW616" s="64"/>
      <c r="AX616" s="64"/>
      <c r="AY616" s="64"/>
      <c r="AZ616" s="64"/>
      <c r="BA616" s="64"/>
      <c r="BB616" s="64"/>
      <c r="BC616" s="64"/>
      <c r="BD616" s="64"/>
      <c r="BE616" s="64"/>
      <c r="BF616" s="64"/>
      <c r="BG616" s="64"/>
      <c r="BH616" s="64"/>
      <c r="BI616" s="64"/>
      <c r="BJ616" s="64"/>
    </row>
    <row r="617" spans="1:62" s="24" customFormat="1" ht="31.5">
      <c r="A617" s="662"/>
      <c r="B617" s="644"/>
      <c r="C617" s="205"/>
      <c r="D617" s="550" t="s">
        <v>227</v>
      </c>
      <c r="E617" s="142"/>
      <c r="F617" s="143"/>
      <c r="G617" s="142"/>
      <c r="H617" s="417">
        <v>3110</v>
      </c>
      <c r="I617" s="144">
        <v>46000</v>
      </c>
      <c r="J617" s="144"/>
      <c r="K617" s="144"/>
      <c r="L617" s="470"/>
      <c r="M617" s="144"/>
      <c r="N617" s="407"/>
      <c r="O617" s="407"/>
      <c r="P617" s="407"/>
      <c r="Q617" s="407"/>
      <c r="R617" s="407"/>
      <c r="S617" s="407"/>
      <c r="T617" s="407"/>
      <c r="U617" s="407"/>
      <c r="V617" s="407"/>
      <c r="W617" s="407"/>
      <c r="X617" s="407">
        <v>46000</v>
      </c>
      <c r="Y617" s="407"/>
      <c r="Z617" s="407"/>
      <c r="AA617" s="407">
        <f t="shared" si="81"/>
        <v>46000</v>
      </c>
      <c r="AB617" s="40"/>
      <c r="AC617" s="498"/>
      <c r="AD617" s="512"/>
      <c r="AE617" s="507"/>
      <c r="AF617" s="507"/>
      <c r="AG617" s="507"/>
      <c r="AH617" s="507"/>
      <c r="AI617" s="40"/>
      <c r="AJ617" s="40"/>
      <c r="AK617" s="40"/>
      <c r="AL617" s="40"/>
      <c r="AM617" s="40"/>
      <c r="AN617" s="40"/>
      <c r="AO617" s="40"/>
      <c r="AP617" s="40"/>
      <c r="AQ617" s="40"/>
      <c r="AR617" s="40"/>
      <c r="AS617" s="40"/>
      <c r="AT617" s="40"/>
      <c r="AU617" s="40"/>
      <c r="AV617" s="40"/>
      <c r="AW617" s="40"/>
      <c r="AX617" s="40"/>
      <c r="AY617" s="40"/>
      <c r="AZ617" s="40"/>
      <c r="BA617" s="40"/>
      <c r="BB617" s="40"/>
      <c r="BC617" s="40"/>
      <c r="BD617" s="40"/>
      <c r="BE617" s="40"/>
      <c r="BF617" s="40"/>
      <c r="BG617" s="40"/>
      <c r="BH617" s="40"/>
      <c r="BI617" s="40"/>
      <c r="BJ617" s="40"/>
    </row>
    <row r="618" spans="1:34" ht="31.5">
      <c r="A618" s="661"/>
      <c r="B618" s="645"/>
      <c r="C618" s="205"/>
      <c r="D618" s="13" t="s">
        <v>1714</v>
      </c>
      <c r="E618" s="142"/>
      <c r="F618" s="143"/>
      <c r="G618" s="142"/>
      <c r="H618" s="417">
        <v>3110</v>
      </c>
      <c r="I618" s="144">
        <f>57890.57-381.8+163471.85</f>
        <v>220980.62</v>
      </c>
      <c r="J618" s="201"/>
      <c r="K618" s="201"/>
      <c r="L618" s="470">
        <v>57890.57</v>
      </c>
      <c r="M618" s="201"/>
      <c r="N618" s="407"/>
      <c r="O618" s="407"/>
      <c r="P618" s="407"/>
      <c r="Q618" s="407"/>
      <c r="R618" s="407"/>
      <c r="S618" s="407"/>
      <c r="T618" s="407">
        <v>57890.57</v>
      </c>
      <c r="U618" s="407">
        <v>-381.8</v>
      </c>
      <c r="V618" s="407"/>
      <c r="W618" s="407"/>
      <c r="X618" s="407">
        <v>163471.85</v>
      </c>
      <c r="Y618" s="407"/>
      <c r="Z618" s="407"/>
      <c r="AA618" s="407">
        <f t="shared" si="81"/>
        <v>220980.62</v>
      </c>
      <c r="AC618" s="499"/>
      <c r="AD618" s="513">
        <v>57508.77</v>
      </c>
      <c r="AE618" s="508"/>
      <c r="AF618" s="508"/>
      <c r="AG618" s="508"/>
      <c r="AH618" s="507" t="s">
        <v>1520</v>
      </c>
    </row>
    <row r="619" spans="1:34" ht="20.25" customHeight="1">
      <c r="A619" s="587" t="s">
        <v>1208</v>
      </c>
      <c r="B619" s="605" t="s">
        <v>634</v>
      </c>
      <c r="C619" s="195"/>
      <c r="D619" s="216" t="s">
        <v>1456</v>
      </c>
      <c r="E619" s="158"/>
      <c r="F619" s="159"/>
      <c r="G619" s="158"/>
      <c r="H619" s="419"/>
      <c r="I619" s="139">
        <f aca="true" t="shared" si="83" ref="I619:Z619">I620+I627+I628+I629</f>
        <v>222256.05</v>
      </c>
      <c r="J619" s="139">
        <f t="shared" si="83"/>
        <v>0</v>
      </c>
      <c r="K619" s="139">
        <f t="shared" si="83"/>
        <v>0</v>
      </c>
      <c r="L619" s="139">
        <f t="shared" si="83"/>
        <v>223686.15</v>
      </c>
      <c r="M619" s="139">
        <f t="shared" si="83"/>
        <v>0</v>
      </c>
      <c r="N619" s="139">
        <f t="shared" si="83"/>
        <v>0</v>
      </c>
      <c r="O619" s="139">
        <f t="shared" si="83"/>
        <v>141186.15</v>
      </c>
      <c r="P619" s="139">
        <f t="shared" si="83"/>
        <v>0</v>
      </c>
      <c r="Q619" s="139">
        <f t="shared" si="83"/>
        <v>0</v>
      </c>
      <c r="R619" s="139">
        <f t="shared" si="83"/>
        <v>30000</v>
      </c>
      <c r="S619" s="139">
        <f t="shared" si="83"/>
        <v>0</v>
      </c>
      <c r="T619" s="139">
        <f t="shared" si="83"/>
        <v>0</v>
      </c>
      <c r="U619" s="139">
        <f t="shared" si="83"/>
        <v>0</v>
      </c>
      <c r="V619" s="139">
        <f t="shared" si="83"/>
        <v>0</v>
      </c>
      <c r="W619" s="139">
        <f t="shared" si="83"/>
        <v>52500</v>
      </c>
      <c r="X619" s="139">
        <f t="shared" si="83"/>
        <v>-1430.1</v>
      </c>
      <c r="Y619" s="139">
        <f t="shared" si="83"/>
        <v>0</v>
      </c>
      <c r="Z619" s="139">
        <f t="shared" si="83"/>
        <v>215596.05</v>
      </c>
      <c r="AA619" s="407">
        <f t="shared" si="81"/>
        <v>6660</v>
      </c>
      <c r="AC619" s="499"/>
      <c r="AD619" s="513"/>
      <c r="AE619" s="508"/>
      <c r="AF619" s="508"/>
      <c r="AG619" s="508"/>
      <c r="AH619" s="508"/>
    </row>
    <row r="620" spans="1:34" ht="36" customHeight="1">
      <c r="A620" s="588"/>
      <c r="B620" s="607"/>
      <c r="C620" s="569" t="s">
        <v>1385</v>
      </c>
      <c r="D620" s="217" t="s">
        <v>1386</v>
      </c>
      <c r="E620" s="142"/>
      <c r="F620" s="143"/>
      <c r="G620" s="142"/>
      <c r="H620" s="417"/>
      <c r="I620" s="144">
        <f>SUM(I621:I624)</f>
        <v>99675</v>
      </c>
      <c r="J620" s="144">
        <f>SUM(J621:J624)</f>
        <v>0</v>
      </c>
      <c r="K620" s="144">
        <f>SUM(K621:K624)</f>
        <v>0</v>
      </c>
      <c r="L620" s="144">
        <f>SUM(L621:L624)</f>
        <v>99675</v>
      </c>
      <c r="M620" s="144">
        <f>SUM(M621:M624)</f>
        <v>0</v>
      </c>
      <c r="N620" s="407"/>
      <c r="O620" s="144">
        <f>SUM(O621:O624)</f>
        <v>99675</v>
      </c>
      <c r="P620" s="407"/>
      <c r="Q620" s="407"/>
      <c r="R620" s="407"/>
      <c r="S620" s="407"/>
      <c r="T620" s="407"/>
      <c r="U620" s="407"/>
      <c r="V620" s="407"/>
      <c r="W620" s="407"/>
      <c r="X620" s="407"/>
      <c r="Y620" s="407"/>
      <c r="Z620" s="144">
        <f>SUM(Z621:Z624)</f>
        <v>99675</v>
      </c>
      <c r="AA620" s="407">
        <f t="shared" si="81"/>
        <v>0</v>
      </c>
      <c r="AC620" s="499"/>
      <c r="AD620" s="513"/>
      <c r="AE620" s="508"/>
      <c r="AF620" s="508"/>
      <c r="AG620" s="508"/>
      <c r="AH620" s="508"/>
    </row>
    <row r="621" spans="1:34" ht="31.5">
      <c r="A621" s="588"/>
      <c r="B621" s="607"/>
      <c r="C621" s="553"/>
      <c r="D621" s="352" t="s">
        <v>1387</v>
      </c>
      <c r="E621" s="199"/>
      <c r="F621" s="143"/>
      <c r="G621" s="199"/>
      <c r="H621" s="417">
        <v>3110</v>
      </c>
      <c r="I621" s="201">
        <v>55275</v>
      </c>
      <c r="J621" s="201"/>
      <c r="K621" s="201"/>
      <c r="L621" s="201">
        <v>55275</v>
      </c>
      <c r="M621" s="144"/>
      <c r="N621" s="407"/>
      <c r="O621" s="201">
        <v>55275</v>
      </c>
      <c r="P621" s="407"/>
      <c r="Q621" s="407"/>
      <c r="R621" s="407"/>
      <c r="S621" s="407"/>
      <c r="T621" s="407"/>
      <c r="U621" s="407"/>
      <c r="V621" s="407"/>
      <c r="W621" s="407"/>
      <c r="X621" s="407"/>
      <c r="Y621" s="407"/>
      <c r="Z621" s="201">
        <v>55275</v>
      </c>
      <c r="AA621" s="407">
        <f t="shared" si="81"/>
        <v>0</v>
      </c>
      <c r="AC621" s="499"/>
      <c r="AD621" s="513">
        <v>55275</v>
      </c>
      <c r="AE621" s="508">
        <v>55275</v>
      </c>
      <c r="AF621" s="641" t="s">
        <v>2088</v>
      </c>
      <c r="AG621" s="508"/>
      <c r="AH621" s="508"/>
    </row>
    <row r="622" spans="1:34" ht="15.75" customHeight="1" hidden="1">
      <c r="A622" s="588"/>
      <c r="B622" s="607"/>
      <c r="C622" s="553"/>
      <c r="D622" s="352" t="s">
        <v>1533</v>
      </c>
      <c r="E622" s="199"/>
      <c r="F622" s="143"/>
      <c r="G622" s="199"/>
      <c r="H622" s="417">
        <v>3110</v>
      </c>
      <c r="I622" s="201">
        <v>0</v>
      </c>
      <c r="J622" s="201"/>
      <c r="K622" s="201"/>
      <c r="L622" s="201"/>
      <c r="M622" s="144"/>
      <c r="N622" s="407"/>
      <c r="O622" s="201">
        <v>0</v>
      </c>
      <c r="P622" s="407"/>
      <c r="Q622" s="407"/>
      <c r="R622" s="407"/>
      <c r="S622" s="407"/>
      <c r="T622" s="407"/>
      <c r="U622" s="407"/>
      <c r="V622" s="407"/>
      <c r="W622" s="407"/>
      <c r="X622" s="407"/>
      <c r="Y622" s="407"/>
      <c r="Z622" s="201">
        <v>0</v>
      </c>
      <c r="AA622" s="407">
        <f t="shared" si="81"/>
        <v>0</v>
      </c>
      <c r="AC622" s="499"/>
      <c r="AD622" s="513"/>
      <c r="AE622" s="508"/>
      <c r="AF622" s="642"/>
      <c r="AG622" s="508"/>
      <c r="AH622" s="508"/>
    </row>
    <row r="623" spans="1:34" ht="31.5">
      <c r="A623" s="588"/>
      <c r="B623" s="607"/>
      <c r="C623" s="553"/>
      <c r="D623" s="352" t="s">
        <v>1534</v>
      </c>
      <c r="E623" s="199"/>
      <c r="F623" s="143"/>
      <c r="G623" s="199"/>
      <c r="H623" s="417">
        <v>3110</v>
      </c>
      <c r="I623" s="201">
        <v>15900</v>
      </c>
      <c r="J623" s="201"/>
      <c r="K623" s="201"/>
      <c r="L623" s="201">
        <v>15900</v>
      </c>
      <c r="M623" s="144"/>
      <c r="N623" s="407"/>
      <c r="O623" s="201">
        <v>15900</v>
      </c>
      <c r="P623" s="407"/>
      <c r="Q623" s="407"/>
      <c r="R623" s="407"/>
      <c r="S623" s="407"/>
      <c r="T623" s="407"/>
      <c r="U623" s="407"/>
      <c r="V623" s="407"/>
      <c r="W623" s="407"/>
      <c r="X623" s="407"/>
      <c r="Y623" s="407"/>
      <c r="Z623" s="201">
        <v>15900</v>
      </c>
      <c r="AA623" s="407">
        <f t="shared" si="81"/>
        <v>0</v>
      </c>
      <c r="AC623" s="499"/>
      <c r="AD623" s="513">
        <v>15900</v>
      </c>
      <c r="AE623" s="508">
        <v>15900</v>
      </c>
      <c r="AF623" s="642"/>
      <c r="AG623" s="508"/>
      <c r="AH623" s="508"/>
    </row>
    <row r="624" spans="1:34" ht="31.5">
      <c r="A624" s="588"/>
      <c r="B624" s="607"/>
      <c r="C624" s="554"/>
      <c r="D624" s="352" t="s">
        <v>1742</v>
      </c>
      <c r="E624" s="199"/>
      <c r="F624" s="143"/>
      <c r="G624" s="199"/>
      <c r="H624" s="417">
        <v>3110</v>
      </c>
      <c r="I624" s="201">
        <v>28500</v>
      </c>
      <c r="J624" s="201"/>
      <c r="K624" s="201"/>
      <c r="L624" s="201">
        <v>28500</v>
      </c>
      <c r="M624" s="144"/>
      <c r="N624" s="407"/>
      <c r="O624" s="201">
        <v>28500</v>
      </c>
      <c r="P624" s="407"/>
      <c r="Q624" s="407"/>
      <c r="R624" s="407"/>
      <c r="S624" s="407"/>
      <c r="T624" s="407"/>
      <c r="U624" s="407"/>
      <c r="V624" s="407"/>
      <c r="W624" s="407"/>
      <c r="X624" s="407"/>
      <c r="Y624" s="407"/>
      <c r="Z624" s="201">
        <v>28500</v>
      </c>
      <c r="AA624" s="407">
        <f t="shared" si="81"/>
        <v>0</v>
      </c>
      <c r="AC624" s="499"/>
      <c r="AD624" s="513">
        <v>28500</v>
      </c>
      <c r="AE624" s="508">
        <v>28500</v>
      </c>
      <c r="AF624" s="643"/>
      <c r="AG624" s="508"/>
      <c r="AH624" s="508"/>
    </row>
    <row r="625" spans="1:34" ht="31.5" customHeight="1" hidden="1">
      <c r="A625" s="588"/>
      <c r="B625" s="607"/>
      <c r="C625" s="135" t="s">
        <v>1743</v>
      </c>
      <c r="D625" s="217" t="s">
        <v>1744</v>
      </c>
      <c r="E625" s="142">
        <v>500</v>
      </c>
      <c r="F625" s="143">
        <f>100%-((E625-G625)/E625)</f>
        <v>1</v>
      </c>
      <c r="G625" s="142">
        <v>500</v>
      </c>
      <c r="H625" s="417"/>
      <c r="I625" s="144">
        <v>0</v>
      </c>
      <c r="J625" s="144"/>
      <c r="K625" s="144"/>
      <c r="L625" s="144">
        <f>500-500</f>
        <v>0</v>
      </c>
      <c r="M625" s="144"/>
      <c r="N625" s="407"/>
      <c r="O625" s="144">
        <v>0</v>
      </c>
      <c r="P625" s="407"/>
      <c r="Q625" s="407"/>
      <c r="R625" s="407"/>
      <c r="S625" s="407"/>
      <c r="T625" s="407"/>
      <c r="U625" s="407"/>
      <c r="V625" s="407"/>
      <c r="W625" s="407"/>
      <c r="X625" s="407"/>
      <c r="Y625" s="407"/>
      <c r="Z625" s="144">
        <v>0</v>
      </c>
      <c r="AA625" s="407">
        <f t="shared" si="81"/>
        <v>0</v>
      </c>
      <c r="AC625" s="499"/>
      <c r="AD625" s="513"/>
      <c r="AE625" s="508"/>
      <c r="AF625" s="508"/>
      <c r="AG625" s="508"/>
      <c r="AH625" s="508"/>
    </row>
    <row r="626" spans="1:34" ht="31.5" customHeight="1" hidden="1">
      <c r="A626" s="588"/>
      <c r="B626" s="607"/>
      <c r="C626" s="135"/>
      <c r="D626" s="217" t="s">
        <v>1465</v>
      </c>
      <c r="E626" s="142"/>
      <c r="F626" s="143"/>
      <c r="G626" s="142"/>
      <c r="H626" s="417"/>
      <c r="I626" s="144">
        <v>0</v>
      </c>
      <c r="J626" s="144"/>
      <c r="K626" s="144"/>
      <c r="L626" s="144"/>
      <c r="M626" s="144"/>
      <c r="N626" s="407"/>
      <c r="O626" s="144">
        <v>0</v>
      </c>
      <c r="P626" s="407"/>
      <c r="Q626" s="407"/>
      <c r="R626" s="407"/>
      <c r="S626" s="407"/>
      <c r="T626" s="407"/>
      <c r="U626" s="407"/>
      <c r="V626" s="407"/>
      <c r="W626" s="407"/>
      <c r="X626" s="407"/>
      <c r="Y626" s="407"/>
      <c r="Z626" s="144">
        <v>0</v>
      </c>
      <c r="AA626" s="407">
        <f t="shared" si="81"/>
        <v>0</v>
      </c>
      <c r="AC626" s="499"/>
      <c r="AD626" s="513"/>
      <c r="AE626" s="508"/>
      <c r="AF626" s="508"/>
      <c r="AG626" s="508"/>
      <c r="AH626" s="508"/>
    </row>
    <row r="627" spans="1:34" ht="51">
      <c r="A627" s="588"/>
      <c r="B627" s="607"/>
      <c r="C627" s="135"/>
      <c r="D627" s="217" t="s">
        <v>1535</v>
      </c>
      <c r="E627" s="142">
        <v>32.608</v>
      </c>
      <c r="F627" s="143">
        <f>100%-((E627-G627)/E627)</f>
        <v>1</v>
      </c>
      <c r="G627" s="142">
        <v>32.608</v>
      </c>
      <c r="H627" s="417">
        <v>3132</v>
      </c>
      <c r="I627" s="144">
        <v>41511.15</v>
      </c>
      <c r="J627" s="144"/>
      <c r="K627" s="144"/>
      <c r="L627" s="144">
        <v>41511.15</v>
      </c>
      <c r="M627" s="144"/>
      <c r="N627" s="407"/>
      <c r="O627" s="144">
        <v>41511.15</v>
      </c>
      <c r="P627" s="407"/>
      <c r="Q627" s="407"/>
      <c r="R627" s="407"/>
      <c r="S627" s="407"/>
      <c r="T627" s="407"/>
      <c r="U627" s="407"/>
      <c r="V627" s="407"/>
      <c r="W627" s="407"/>
      <c r="X627" s="407"/>
      <c r="Y627" s="407"/>
      <c r="Z627" s="144">
        <v>41511.15</v>
      </c>
      <c r="AA627" s="407">
        <f t="shared" si="81"/>
        <v>0</v>
      </c>
      <c r="AC627" s="499"/>
      <c r="AD627" s="513">
        <v>41511.15</v>
      </c>
      <c r="AE627" s="508">
        <v>52237.35</v>
      </c>
      <c r="AF627" s="507" t="s">
        <v>542</v>
      </c>
      <c r="AG627" s="508"/>
      <c r="AH627" s="508"/>
    </row>
    <row r="628" spans="1:34" ht="31.5">
      <c r="A628" s="588"/>
      <c r="B628" s="607"/>
      <c r="C628" s="135"/>
      <c r="D628" s="13" t="s">
        <v>1715</v>
      </c>
      <c r="E628" s="142"/>
      <c r="F628" s="143"/>
      <c r="G628" s="142"/>
      <c r="H628" s="417">
        <v>3132</v>
      </c>
      <c r="I628" s="144">
        <f>30000-530</f>
        <v>29470</v>
      </c>
      <c r="J628" s="144"/>
      <c r="K628" s="144"/>
      <c r="L628" s="470">
        <v>30000</v>
      </c>
      <c r="M628" s="144"/>
      <c r="N628" s="407"/>
      <c r="O628" s="407"/>
      <c r="P628" s="407"/>
      <c r="Q628" s="407"/>
      <c r="R628" s="407">
        <v>30000</v>
      </c>
      <c r="S628" s="407"/>
      <c r="T628" s="407"/>
      <c r="U628" s="407"/>
      <c r="V628" s="407"/>
      <c r="W628" s="407"/>
      <c r="X628" s="407">
        <v>-530</v>
      </c>
      <c r="Y628" s="407"/>
      <c r="Z628" s="407">
        <f>2500+26970</f>
        <v>29470</v>
      </c>
      <c r="AA628" s="407">
        <f t="shared" si="81"/>
        <v>0</v>
      </c>
      <c r="AC628" s="499"/>
      <c r="AD628" s="513">
        <v>30000</v>
      </c>
      <c r="AE628" s="508">
        <v>30000</v>
      </c>
      <c r="AF628" s="507" t="s">
        <v>543</v>
      </c>
      <c r="AG628" s="507" t="s">
        <v>1127</v>
      </c>
      <c r="AH628" s="507" t="s">
        <v>1128</v>
      </c>
    </row>
    <row r="629" spans="1:34" ht="31.5">
      <c r="A629" s="588"/>
      <c r="B629" s="607"/>
      <c r="C629" s="135"/>
      <c r="D629" s="13" t="s">
        <v>1648</v>
      </c>
      <c r="E629" s="142"/>
      <c r="F629" s="143"/>
      <c r="G629" s="142"/>
      <c r="H629" s="417"/>
      <c r="I629" s="49">
        <f>SUM(I630:I632)</f>
        <v>51599.9</v>
      </c>
      <c r="J629" s="372">
        <f>SUM(J630:J632)</f>
        <v>0</v>
      </c>
      <c r="K629" s="372">
        <f>SUM(K630:K632)</f>
        <v>0</v>
      </c>
      <c r="L629" s="49">
        <f>SUM(L630:L632)</f>
        <v>52500</v>
      </c>
      <c r="M629" s="49">
        <f aca="true" t="shared" si="84" ref="M629:Z629">SUM(M630:M632)</f>
        <v>0</v>
      </c>
      <c r="N629" s="49">
        <f t="shared" si="84"/>
        <v>0</v>
      </c>
      <c r="O629" s="49">
        <f t="shared" si="84"/>
        <v>0</v>
      </c>
      <c r="P629" s="49">
        <f t="shared" si="84"/>
        <v>0</v>
      </c>
      <c r="Q629" s="49">
        <f t="shared" si="84"/>
        <v>0</v>
      </c>
      <c r="R629" s="49">
        <f t="shared" si="84"/>
        <v>0</v>
      </c>
      <c r="S629" s="49">
        <f t="shared" si="84"/>
        <v>0</v>
      </c>
      <c r="T629" s="49">
        <f t="shared" si="84"/>
        <v>0</v>
      </c>
      <c r="U629" s="49">
        <f t="shared" si="84"/>
        <v>0</v>
      </c>
      <c r="V629" s="49">
        <f t="shared" si="84"/>
        <v>0</v>
      </c>
      <c r="W629" s="49">
        <f t="shared" si="84"/>
        <v>52500</v>
      </c>
      <c r="X629" s="49">
        <f t="shared" si="84"/>
        <v>-900.1</v>
      </c>
      <c r="Y629" s="49">
        <f t="shared" si="84"/>
        <v>0</v>
      </c>
      <c r="Z629" s="49">
        <f t="shared" si="84"/>
        <v>44939.9</v>
      </c>
      <c r="AA629" s="407">
        <f t="shared" si="81"/>
        <v>6660</v>
      </c>
      <c r="AC629" s="499"/>
      <c r="AD629" s="513"/>
      <c r="AE629" s="508"/>
      <c r="AF629" s="508"/>
      <c r="AG629" s="508"/>
      <c r="AH629" s="508"/>
    </row>
    <row r="630" spans="1:34" s="64" customFormat="1" ht="25.5" customHeight="1">
      <c r="A630" s="588"/>
      <c r="B630" s="607"/>
      <c r="C630" s="255"/>
      <c r="D630" s="346" t="s">
        <v>1649</v>
      </c>
      <c r="E630" s="199"/>
      <c r="F630" s="200"/>
      <c r="G630" s="199"/>
      <c r="H630" s="417">
        <v>3110</v>
      </c>
      <c r="I630" s="201">
        <v>40000</v>
      </c>
      <c r="J630" s="201"/>
      <c r="K630" s="201"/>
      <c r="L630" s="469">
        <v>40000</v>
      </c>
      <c r="M630" s="201"/>
      <c r="N630" s="465"/>
      <c r="O630" s="465"/>
      <c r="P630" s="465"/>
      <c r="Q630" s="465"/>
      <c r="R630" s="465"/>
      <c r="S630" s="465"/>
      <c r="T630" s="465"/>
      <c r="U630" s="465"/>
      <c r="V630" s="465"/>
      <c r="W630" s="465">
        <v>40000</v>
      </c>
      <c r="X630" s="465">
        <f>40000-40000</f>
        <v>0</v>
      </c>
      <c r="Y630" s="465"/>
      <c r="Z630" s="465">
        <v>39840</v>
      </c>
      <c r="AA630" s="407">
        <f t="shared" si="81"/>
        <v>160</v>
      </c>
      <c r="AC630" s="500"/>
      <c r="AD630" s="516">
        <v>40000</v>
      </c>
      <c r="AE630" s="516">
        <v>40000</v>
      </c>
      <c r="AF630" s="510" t="s">
        <v>2089</v>
      </c>
      <c r="AG630" s="510"/>
      <c r="AH630" s="686" t="s">
        <v>1128</v>
      </c>
    </row>
    <row r="631" spans="1:34" s="64" customFormat="1" ht="25.5">
      <c r="A631" s="588"/>
      <c r="B631" s="607"/>
      <c r="C631" s="255"/>
      <c r="D631" s="346" t="s">
        <v>1650</v>
      </c>
      <c r="E631" s="199"/>
      <c r="F631" s="200"/>
      <c r="G631" s="199"/>
      <c r="H631" s="417">
        <v>3110</v>
      </c>
      <c r="I631" s="201">
        <f>6000-900.1</f>
        <v>5099.9</v>
      </c>
      <c r="J631" s="201"/>
      <c r="K631" s="201"/>
      <c r="L631" s="469">
        <v>6000</v>
      </c>
      <c r="M631" s="201"/>
      <c r="N631" s="465"/>
      <c r="O631" s="465"/>
      <c r="P631" s="465"/>
      <c r="Q631" s="465"/>
      <c r="R631" s="465"/>
      <c r="S631" s="465"/>
      <c r="T631" s="465"/>
      <c r="U631" s="465"/>
      <c r="V631" s="465"/>
      <c r="W631" s="465">
        <v>6000</v>
      </c>
      <c r="X631" s="465">
        <f>6000-6000-900.1</f>
        <v>-900.1</v>
      </c>
      <c r="Y631" s="465"/>
      <c r="Z631" s="465">
        <v>5099.9</v>
      </c>
      <c r="AA631" s="407">
        <f t="shared" si="81"/>
        <v>0</v>
      </c>
      <c r="AC631" s="500"/>
      <c r="AD631" s="516">
        <v>6000</v>
      </c>
      <c r="AE631" s="516">
        <v>6000</v>
      </c>
      <c r="AF631" s="510" t="s">
        <v>2090</v>
      </c>
      <c r="AG631" s="510"/>
      <c r="AH631" s="687"/>
    </row>
    <row r="632" spans="1:34" s="64" customFormat="1" ht="38.25">
      <c r="A632" s="570"/>
      <c r="B632" s="606"/>
      <c r="C632" s="255"/>
      <c r="D632" s="346" t="s">
        <v>1651</v>
      </c>
      <c r="E632" s="199"/>
      <c r="F632" s="200"/>
      <c r="G632" s="199"/>
      <c r="H632" s="417">
        <v>3110</v>
      </c>
      <c r="I632" s="201">
        <v>6500</v>
      </c>
      <c r="J632" s="201"/>
      <c r="K632" s="201"/>
      <c r="L632" s="469">
        <v>6500</v>
      </c>
      <c r="M632" s="201"/>
      <c r="N632" s="465"/>
      <c r="O632" s="465"/>
      <c r="P632" s="465"/>
      <c r="Q632" s="465"/>
      <c r="R632" s="465"/>
      <c r="S632" s="465"/>
      <c r="T632" s="465"/>
      <c r="U632" s="465"/>
      <c r="V632" s="465"/>
      <c r="W632" s="465">
        <v>6500</v>
      </c>
      <c r="X632" s="465">
        <f>6500-6500</f>
        <v>0</v>
      </c>
      <c r="Y632" s="465"/>
      <c r="Z632" s="465"/>
      <c r="AA632" s="407">
        <f t="shared" si="81"/>
        <v>6500</v>
      </c>
      <c r="AC632" s="500"/>
      <c r="AD632" s="516">
        <v>6500</v>
      </c>
      <c r="AE632" s="516">
        <v>6500</v>
      </c>
      <c r="AF632" s="510"/>
      <c r="AG632" s="510"/>
      <c r="AH632" s="547" t="s">
        <v>1520</v>
      </c>
    </row>
    <row r="633" spans="1:34" s="30" customFormat="1" ht="15.75" customHeight="1" hidden="1">
      <c r="A633" s="558" t="s">
        <v>1209</v>
      </c>
      <c r="B633" s="560" t="s">
        <v>1536</v>
      </c>
      <c r="C633" s="167"/>
      <c r="D633" s="216" t="s">
        <v>1899</v>
      </c>
      <c r="E633" s="137"/>
      <c r="F633" s="159"/>
      <c r="G633" s="137"/>
      <c r="H633" s="416"/>
      <c r="I633" s="139" t="e">
        <f>J633+K633+L633+M633+#REF!+#REF!</f>
        <v>#REF!</v>
      </c>
      <c r="J633" s="139">
        <f>J634+J635+J640</f>
        <v>0</v>
      </c>
      <c r="K633" s="139">
        <f>K634+K635+K640</f>
        <v>0</v>
      </c>
      <c r="L633" s="139">
        <f>L634+L635+L640</f>
        <v>0</v>
      </c>
      <c r="M633" s="139">
        <f>M634+M635+M640</f>
        <v>0</v>
      </c>
      <c r="N633" s="439"/>
      <c r="O633" s="439"/>
      <c r="P633" s="439"/>
      <c r="Q633" s="439"/>
      <c r="R633" s="439"/>
      <c r="S633" s="439"/>
      <c r="T633" s="439"/>
      <c r="U633" s="439"/>
      <c r="V633" s="439"/>
      <c r="W633" s="439"/>
      <c r="X633" s="439"/>
      <c r="Y633" s="439"/>
      <c r="Z633" s="439"/>
      <c r="AA633" s="407">
        <f t="shared" si="81"/>
        <v>0</v>
      </c>
      <c r="AC633" s="59"/>
      <c r="AD633" s="514"/>
      <c r="AE633" s="509"/>
      <c r="AF633" s="509"/>
      <c r="AG633" s="509"/>
      <c r="AH633" s="509"/>
    </row>
    <row r="634" spans="1:34" ht="33.75" customHeight="1" hidden="1">
      <c r="A634" s="559"/>
      <c r="B634" s="561"/>
      <c r="C634" s="167" t="s">
        <v>1900</v>
      </c>
      <c r="D634" s="217" t="s">
        <v>1245</v>
      </c>
      <c r="E634" s="142">
        <v>205</v>
      </c>
      <c r="F634" s="143">
        <f>100%-((E634-G634)/E634)</f>
        <v>1</v>
      </c>
      <c r="G634" s="142">
        <v>205</v>
      </c>
      <c r="H634" s="417"/>
      <c r="I634" s="144" t="e">
        <f>J634+K634+L634+M634+#REF!+#REF!</f>
        <v>#REF!</v>
      </c>
      <c r="J634" s="144"/>
      <c r="K634" s="144"/>
      <c r="L634" s="144"/>
      <c r="M634" s="144"/>
      <c r="N634" s="407"/>
      <c r="O634" s="407"/>
      <c r="P634" s="407"/>
      <c r="Q634" s="407"/>
      <c r="R634" s="407"/>
      <c r="S634" s="407"/>
      <c r="T634" s="407"/>
      <c r="U634" s="407"/>
      <c r="V634" s="407"/>
      <c r="W634" s="407"/>
      <c r="X634" s="407"/>
      <c r="Y634" s="407"/>
      <c r="Z634" s="407"/>
      <c r="AA634" s="407">
        <f t="shared" si="81"/>
        <v>0</v>
      </c>
      <c r="AC634" s="499"/>
      <c r="AD634" s="513"/>
      <c r="AE634" s="508"/>
      <c r="AF634" s="508"/>
      <c r="AG634" s="508"/>
      <c r="AH634" s="508"/>
    </row>
    <row r="635" spans="1:34" ht="31.5" hidden="1">
      <c r="A635" s="559"/>
      <c r="B635" s="561"/>
      <c r="C635" s="167"/>
      <c r="D635" s="66" t="s">
        <v>2105</v>
      </c>
      <c r="E635" s="142"/>
      <c r="F635" s="143"/>
      <c r="G635" s="142"/>
      <c r="H635" s="417"/>
      <c r="I635" s="144" t="e">
        <f>J635+K635+L635+M635+#REF!+#REF!</f>
        <v>#REF!</v>
      </c>
      <c r="J635" s="144">
        <f>SUM(J636:J639)</f>
        <v>0</v>
      </c>
      <c r="K635" s="144"/>
      <c r="L635" s="144">
        <f>SUM(L636:L639)</f>
        <v>0</v>
      </c>
      <c r="M635" s="144">
        <f>SUM(M636:M639)</f>
        <v>0</v>
      </c>
      <c r="N635" s="407"/>
      <c r="O635" s="407"/>
      <c r="P635" s="407"/>
      <c r="Q635" s="407"/>
      <c r="R635" s="407"/>
      <c r="S635" s="407"/>
      <c r="T635" s="407"/>
      <c r="U635" s="407"/>
      <c r="V635" s="407"/>
      <c r="W635" s="407"/>
      <c r="X635" s="407"/>
      <c r="Y635" s="407"/>
      <c r="Z635" s="407"/>
      <c r="AA635" s="407">
        <f t="shared" si="81"/>
        <v>0</v>
      </c>
      <c r="AC635" s="499"/>
      <c r="AD635" s="513"/>
      <c r="AE635" s="508"/>
      <c r="AF635" s="508"/>
      <c r="AG635" s="508"/>
      <c r="AH635" s="508"/>
    </row>
    <row r="636" spans="1:34" s="64" customFormat="1" ht="15.75" hidden="1">
      <c r="A636" s="559"/>
      <c r="B636" s="561"/>
      <c r="C636" s="244"/>
      <c r="D636" s="67" t="s">
        <v>2106</v>
      </c>
      <c r="E636" s="199"/>
      <c r="F636" s="200"/>
      <c r="G636" s="199"/>
      <c r="H636" s="423"/>
      <c r="I636" s="144" t="e">
        <f>J636+K636+L636+M636+#REF!+#REF!</f>
        <v>#REF!</v>
      </c>
      <c r="J636" s="201"/>
      <c r="K636" s="201"/>
      <c r="L636" s="201"/>
      <c r="M636" s="201"/>
      <c r="N636" s="465"/>
      <c r="O636" s="465"/>
      <c r="P636" s="465"/>
      <c r="Q636" s="465"/>
      <c r="R636" s="465"/>
      <c r="S636" s="465"/>
      <c r="T636" s="465"/>
      <c r="U636" s="465"/>
      <c r="V636" s="465"/>
      <c r="W636" s="465"/>
      <c r="X636" s="465"/>
      <c r="Y636" s="465"/>
      <c r="Z636" s="465"/>
      <c r="AA636" s="407">
        <f t="shared" si="81"/>
        <v>0</v>
      </c>
      <c r="AC636" s="500"/>
      <c r="AD636" s="516"/>
      <c r="AE636" s="510"/>
      <c r="AF636" s="510"/>
      <c r="AG636" s="510"/>
      <c r="AH636" s="510"/>
    </row>
    <row r="637" spans="1:34" s="64" customFormat="1" ht="15.75" hidden="1">
      <c r="A637" s="559"/>
      <c r="B637" s="561"/>
      <c r="C637" s="244"/>
      <c r="D637" s="67" t="s">
        <v>2107</v>
      </c>
      <c r="E637" s="199"/>
      <c r="F637" s="200"/>
      <c r="G637" s="199"/>
      <c r="H637" s="423"/>
      <c r="I637" s="144" t="e">
        <f>J637+K637+L637+M637+#REF!+#REF!</f>
        <v>#REF!</v>
      </c>
      <c r="J637" s="201"/>
      <c r="K637" s="201"/>
      <c r="L637" s="201"/>
      <c r="M637" s="201"/>
      <c r="N637" s="465"/>
      <c r="O637" s="465"/>
      <c r="P637" s="465"/>
      <c r="Q637" s="465"/>
      <c r="R637" s="465"/>
      <c r="S637" s="465"/>
      <c r="T637" s="465"/>
      <c r="U637" s="465"/>
      <c r="V637" s="465"/>
      <c r="W637" s="465"/>
      <c r="X637" s="465"/>
      <c r="Y637" s="465"/>
      <c r="Z637" s="465"/>
      <c r="AA637" s="407">
        <f t="shared" si="81"/>
        <v>0</v>
      </c>
      <c r="AC637" s="500"/>
      <c r="AD637" s="516"/>
      <c r="AE637" s="510"/>
      <c r="AF637" s="510"/>
      <c r="AG637" s="510"/>
      <c r="AH637" s="510"/>
    </row>
    <row r="638" spans="1:34" s="64" customFormat="1" ht="15.75" hidden="1">
      <c r="A638" s="559"/>
      <c r="B638" s="561"/>
      <c r="C638" s="244"/>
      <c r="D638" s="67" t="s">
        <v>2108</v>
      </c>
      <c r="E638" s="199"/>
      <c r="F638" s="200"/>
      <c r="G638" s="199"/>
      <c r="H638" s="423"/>
      <c r="I638" s="144" t="e">
        <f>J638+K638+L638+M638+#REF!+#REF!</f>
        <v>#REF!</v>
      </c>
      <c r="J638" s="201"/>
      <c r="K638" s="201"/>
      <c r="L638" s="201"/>
      <c r="M638" s="201"/>
      <c r="N638" s="465"/>
      <c r="O638" s="465"/>
      <c r="P638" s="465"/>
      <c r="Q638" s="465"/>
      <c r="R638" s="465"/>
      <c r="S638" s="465"/>
      <c r="T638" s="465"/>
      <c r="U638" s="465"/>
      <c r="V638" s="465"/>
      <c r="W638" s="465"/>
      <c r="X638" s="465"/>
      <c r="Y638" s="465"/>
      <c r="Z638" s="465"/>
      <c r="AA638" s="407">
        <f t="shared" si="81"/>
        <v>0</v>
      </c>
      <c r="AC638" s="500"/>
      <c r="AD638" s="516"/>
      <c r="AE638" s="510"/>
      <c r="AF638" s="510"/>
      <c r="AG638" s="510"/>
      <c r="AH638" s="510"/>
    </row>
    <row r="639" spans="1:34" s="64" customFormat="1" ht="15.75" hidden="1">
      <c r="A639" s="559"/>
      <c r="B639" s="561"/>
      <c r="C639" s="244"/>
      <c r="D639" s="67" t="s">
        <v>2109</v>
      </c>
      <c r="E639" s="199"/>
      <c r="F639" s="200"/>
      <c r="G639" s="199"/>
      <c r="H639" s="423"/>
      <c r="I639" s="144" t="e">
        <f>J639+K639+L639+M639+#REF!+#REF!</f>
        <v>#REF!</v>
      </c>
      <c r="J639" s="201"/>
      <c r="K639" s="201"/>
      <c r="L639" s="201"/>
      <c r="M639" s="201"/>
      <c r="N639" s="465"/>
      <c r="O639" s="465"/>
      <c r="P639" s="465"/>
      <c r="Q639" s="465"/>
      <c r="R639" s="465"/>
      <c r="S639" s="465"/>
      <c r="T639" s="465"/>
      <c r="U639" s="465"/>
      <c r="V639" s="465"/>
      <c r="W639" s="465"/>
      <c r="X639" s="465"/>
      <c r="Y639" s="465"/>
      <c r="Z639" s="465"/>
      <c r="AA639" s="407">
        <f t="shared" si="81"/>
        <v>0</v>
      </c>
      <c r="AC639" s="500"/>
      <c r="AD639" s="516"/>
      <c r="AE639" s="510"/>
      <c r="AF639" s="510"/>
      <c r="AG639" s="510"/>
      <c r="AH639" s="510"/>
    </row>
    <row r="640" spans="1:34" ht="33.75" customHeight="1" hidden="1">
      <c r="A640" s="256"/>
      <c r="B640" s="257"/>
      <c r="C640" s="167"/>
      <c r="D640" s="217"/>
      <c r="E640" s="142"/>
      <c r="F640" s="143"/>
      <c r="G640" s="142"/>
      <c r="H640" s="417"/>
      <c r="I640" s="144" t="e">
        <f>J640+K640+L640+M640+#REF!+#REF!</f>
        <v>#REF!</v>
      </c>
      <c r="J640" s="144"/>
      <c r="K640" s="144"/>
      <c r="L640" s="144"/>
      <c r="M640" s="144"/>
      <c r="N640" s="407"/>
      <c r="O640" s="407"/>
      <c r="P640" s="407"/>
      <c r="Q640" s="407"/>
      <c r="R640" s="407"/>
      <c r="S640" s="407"/>
      <c r="T640" s="407"/>
      <c r="U640" s="407"/>
      <c r="V640" s="407"/>
      <c r="W640" s="407"/>
      <c r="X640" s="407"/>
      <c r="Y640" s="407"/>
      <c r="Z640" s="407"/>
      <c r="AA640" s="407">
        <f t="shared" si="81"/>
        <v>0</v>
      </c>
      <c r="AC640" s="499"/>
      <c r="AD640" s="513"/>
      <c r="AE640" s="508"/>
      <c r="AF640" s="508"/>
      <c r="AG640" s="508"/>
      <c r="AH640" s="508"/>
    </row>
    <row r="641" spans="1:34" ht="33.75" customHeight="1" hidden="1">
      <c r="A641" s="256"/>
      <c r="B641" s="257"/>
      <c r="C641" s="167"/>
      <c r="D641" s="217"/>
      <c r="E641" s="142"/>
      <c r="F641" s="143"/>
      <c r="G641" s="142"/>
      <c r="H641" s="417"/>
      <c r="I641" s="144" t="e">
        <f>J641+K641+L641+M641+#REF!+#REF!</f>
        <v>#REF!</v>
      </c>
      <c r="J641" s="144"/>
      <c r="K641" s="144"/>
      <c r="L641" s="144"/>
      <c r="M641" s="144"/>
      <c r="N641" s="407"/>
      <c r="O641" s="407"/>
      <c r="P641" s="407"/>
      <c r="Q641" s="407"/>
      <c r="R641" s="407"/>
      <c r="S641" s="407"/>
      <c r="T641" s="407"/>
      <c r="U641" s="407"/>
      <c r="V641" s="407"/>
      <c r="W641" s="407"/>
      <c r="X641" s="407"/>
      <c r="Y641" s="407"/>
      <c r="Z641" s="407"/>
      <c r="AA641" s="407">
        <f t="shared" si="81"/>
        <v>0</v>
      </c>
      <c r="AC641" s="499"/>
      <c r="AD641" s="513"/>
      <c r="AE641" s="508"/>
      <c r="AF641" s="508"/>
      <c r="AG641" s="508"/>
      <c r="AH641" s="508"/>
    </row>
    <row r="642" spans="1:34" ht="33.75" customHeight="1" hidden="1">
      <c r="A642" s="256"/>
      <c r="B642" s="257"/>
      <c r="C642" s="167"/>
      <c r="D642" s="217"/>
      <c r="E642" s="142"/>
      <c r="F642" s="143"/>
      <c r="G642" s="142"/>
      <c r="H642" s="417"/>
      <c r="I642" s="144" t="e">
        <f>J642+K642+L642+M642+#REF!+#REF!</f>
        <v>#REF!</v>
      </c>
      <c r="J642" s="144"/>
      <c r="K642" s="144"/>
      <c r="L642" s="144"/>
      <c r="M642" s="144"/>
      <c r="N642" s="407"/>
      <c r="O642" s="407"/>
      <c r="P642" s="407"/>
      <c r="Q642" s="407"/>
      <c r="R642" s="407"/>
      <c r="S642" s="407"/>
      <c r="T642" s="407"/>
      <c r="U642" s="407"/>
      <c r="V642" s="407"/>
      <c r="W642" s="407"/>
      <c r="X642" s="407"/>
      <c r="Y642" s="407"/>
      <c r="Z642" s="407"/>
      <c r="AA642" s="407">
        <f t="shared" si="81"/>
        <v>0</v>
      </c>
      <c r="AC642" s="499"/>
      <c r="AD642" s="513"/>
      <c r="AE642" s="508"/>
      <c r="AF642" s="508"/>
      <c r="AG642" s="508"/>
      <c r="AH642" s="508"/>
    </row>
    <row r="643" spans="1:62" s="28" customFormat="1" ht="15.75" customHeight="1">
      <c r="A643" s="587" t="s">
        <v>1101</v>
      </c>
      <c r="B643" s="605" t="s">
        <v>1640</v>
      </c>
      <c r="C643" s="195"/>
      <c r="D643" s="216" t="s">
        <v>1456</v>
      </c>
      <c r="E643" s="137"/>
      <c r="F643" s="159"/>
      <c r="G643" s="137"/>
      <c r="H643" s="416"/>
      <c r="I643" s="139">
        <f>SUM(I646:I647)</f>
        <v>493682.4</v>
      </c>
      <c r="J643" s="139">
        <f aca="true" t="shared" si="85" ref="J643:Z643">SUM(J644:J647)</f>
        <v>0</v>
      </c>
      <c r="K643" s="139">
        <f t="shared" si="85"/>
        <v>0</v>
      </c>
      <c r="L643" s="139">
        <f t="shared" si="85"/>
        <v>493682.4</v>
      </c>
      <c r="M643" s="139">
        <f t="shared" si="85"/>
        <v>0</v>
      </c>
      <c r="N643" s="139">
        <f t="shared" si="85"/>
        <v>0</v>
      </c>
      <c r="O643" s="139">
        <f t="shared" si="85"/>
        <v>7232.4</v>
      </c>
      <c r="P643" s="139">
        <f t="shared" si="85"/>
        <v>0</v>
      </c>
      <c r="Q643" s="139">
        <f t="shared" si="85"/>
        <v>0</v>
      </c>
      <c r="R643" s="139">
        <f t="shared" si="85"/>
        <v>0</v>
      </c>
      <c r="S643" s="139">
        <f t="shared" si="85"/>
        <v>180512</v>
      </c>
      <c r="T643" s="139">
        <f t="shared" si="85"/>
        <v>70100</v>
      </c>
      <c r="U643" s="139">
        <f t="shared" si="85"/>
        <v>0</v>
      </c>
      <c r="V643" s="139">
        <f t="shared" si="85"/>
        <v>0</v>
      </c>
      <c r="W643" s="139">
        <f t="shared" si="85"/>
        <v>131200</v>
      </c>
      <c r="X643" s="139">
        <f t="shared" si="85"/>
        <v>14740</v>
      </c>
      <c r="Y643" s="139">
        <f t="shared" si="85"/>
        <v>89898</v>
      </c>
      <c r="Z643" s="139">
        <f t="shared" si="85"/>
        <v>389017.6</v>
      </c>
      <c r="AA643" s="407">
        <f t="shared" si="81"/>
        <v>14766.8</v>
      </c>
      <c r="AB643" s="30"/>
      <c r="AC643" s="59"/>
      <c r="AD643" s="514"/>
      <c r="AE643" s="509"/>
      <c r="AF643" s="509"/>
      <c r="AG643" s="509"/>
      <c r="AH643" s="509"/>
      <c r="AI643" s="30"/>
      <c r="AJ643" s="30"/>
      <c r="AK643" s="30"/>
      <c r="AL643" s="30"/>
      <c r="AM643" s="30"/>
      <c r="AN643" s="30"/>
      <c r="AO643" s="30"/>
      <c r="AP643" s="30"/>
      <c r="AQ643" s="30"/>
      <c r="AR643" s="30"/>
      <c r="AS643" s="30"/>
      <c r="AT643" s="30"/>
      <c r="AU643" s="30"/>
      <c r="AV643" s="30"/>
      <c r="AW643" s="30"/>
      <c r="AX643" s="30"/>
      <c r="AY643" s="30"/>
      <c r="AZ643" s="30"/>
      <c r="BA643" s="30"/>
      <c r="BB643" s="30"/>
      <c r="BC643" s="30"/>
      <c r="BD643" s="30"/>
      <c r="BE643" s="30"/>
      <c r="BF643" s="30"/>
      <c r="BG643" s="30"/>
      <c r="BH643" s="30"/>
      <c r="BI643" s="30"/>
      <c r="BJ643" s="30"/>
    </row>
    <row r="644" spans="1:34" ht="31.5" customHeight="1" hidden="1">
      <c r="A644" s="588"/>
      <c r="B644" s="607"/>
      <c r="C644" s="167" t="s">
        <v>2110</v>
      </c>
      <c r="D644" s="217" t="s">
        <v>2111</v>
      </c>
      <c r="E644" s="142">
        <v>1142.2</v>
      </c>
      <c r="F644" s="143">
        <f>100%-((E644-G644)/E644)</f>
        <v>0.075</v>
      </c>
      <c r="G644" s="142">
        <v>85.6</v>
      </c>
      <c r="H644" s="417"/>
      <c r="I644" s="144" t="e">
        <f>J644+K644+L644+M644+#REF!+#REF!</f>
        <v>#REF!</v>
      </c>
      <c r="J644" s="144"/>
      <c r="K644" s="144"/>
      <c r="L644" s="144"/>
      <c r="M644" s="144"/>
      <c r="N644" s="407"/>
      <c r="O644" s="407"/>
      <c r="P644" s="407"/>
      <c r="Q644" s="407"/>
      <c r="R644" s="407"/>
      <c r="S644" s="407"/>
      <c r="T644" s="407"/>
      <c r="U644" s="407"/>
      <c r="V644" s="407"/>
      <c r="W644" s="407"/>
      <c r="X644" s="407"/>
      <c r="Y644" s="407"/>
      <c r="Z644" s="407"/>
      <c r="AA644" s="407">
        <f t="shared" si="81"/>
        <v>0</v>
      </c>
      <c r="AC644" s="499"/>
      <c r="AD644" s="513"/>
      <c r="AE644" s="508"/>
      <c r="AF644" s="508"/>
      <c r="AG644" s="508"/>
      <c r="AH644" s="508"/>
    </row>
    <row r="645" spans="1:34" ht="63" customHeight="1" hidden="1">
      <c r="A645" s="588"/>
      <c r="B645" s="607"/>
      <c r="C645" s="167" t="s">
        <v>2112</v>
      </c>
      <c r="D645" s="217" t="s">
        <v>2126</v>
      </c>
      <c r="E645" s="142">
        <v>378.402</v>
      </c>
      <c r="F645" s="143">
        <f>100%-((E645-G645)/E645)</f>
        <v>1</v>
      </c>
      <c r="G645" s="142">
        <v>378.402</v>
      </c>
      <c r="H645" s="417"/>
      <c r="I645" s="144" t="e">
        <f>J645+K645+L645+M645+#REF!+#REF!</f>
        <v>#REF!</v>
      </c>
      <c r="J645" s="144"/>
      <c r="K645" s="144"/>
      <c r="L645" s="144"/>
      <c r="M645" s="144"/>
      <c r="N645" s="407"/>
      <c r="O645" s="407"/>
      <c r="P645" s="407"/>
      <c r="Q645" s="407"/>
      <c r="R645" s="407"/>
      <c r="S645" s="407"/>
      <c r="T645" s="407"/>
      <c r="U645" s="407"/>
      <c r="V645" s="407"/>
      <c r="W645" s="407"/>
      <c r="X645" s="407"/>
      <c r="Y645" s="407"/>
      <c r="Z645" s="407"/>
      <c r="AA645" s="407">
        <f t="shared" si="81"/>
        <v>0</v>
      </c>
      <c r="AC645" s="499"/>
      <c r="AD645" s="513"/>
      <c r="AE645" s="508"/>
      <c r="AF645" s="508"/>
      <c r="AG645" s="508"/>
      <c r="AH645" s="508"/>
    </row>
    <row r="646" spans="1:34" ht="47.25">
      <c r="A646" s="588"/>
      <c r="B646" s="607"/>
      <c r="C646" s="167" t="s">
        <v>1743</v>
      </c>
      <c r="D646" s="217" t="s">
        <v>2127</v>
      </c>
      <c r="E646" s="142">
        <v>500</v>
      </c>
      <c r="F646" s="143">
        <f>100%-((E646-G646)/E646)</f>
        <v>1</v>
      </c>
      <c r="G646" s="142">
        <v>500</v>
      </c>
      <c r="H646" s="417">
        <v>3142</v>
      </c>
      <c r="I646" s="144">
        <v>7232.4</v>
      </c>
      <c r="J646" s="144"/>
      <c r="K646" s="144"/>
      <c r="L646" s="144">
        <v>7232.4</v>
      </c>
      <c r="M646" s="144"/>
      <c r="N646" s="407"/>
      <c r="O646" s="144">
        <v>7232.4</v>
      </c>
      <c r="P646" s="407"/>
      <c r="Q646" s="407"/>
      <c r="R646" s="407"/>
      <c r="S646" s="407"/>
      <c r="T646" s="407"/>
      <c r="U646" s="407"/>
      <c r="V646" s="407"/>
      <c r="W646" s="407"/>
      <c r="X646" s="407"/>
      <c r="Y646" s="407"/>
      <c r="Z646" s="144">
        <v>7232.4</v>
      </c>
      <c r="AA646" s="407">
        <f t="shared" si="81"/>
        <v>0</v>
      </c>
      <c r="AC646" s="499"/>
      <c r="AD646" s="513">
        <v>7232.4</v>
      </c>
      <c r="AE646" s="513">
        <v>7232.4</v>
      </c>
      <c r="AF646" s="507" t="s">
        <v>544</v>
      </c>
      <c r="AG646" s="508"/>
      <c r="AH646" s="508"/>
    </row>
    <row r="647" spans="1:34" ht="47.25">
      <c r="A647" s="570"/>
      <c r="B647" s="606"/>
      <c r="C647" s="167"/>
      <c r="D647" s="217" t="s">
        <v>527</v>
      </c>
      <c r="E647" s="142"/>
      <c r="F647" s="143"/>
      <c r="G647" s="142"/>
      <c r="H647" s="417">
        <v>3142</v>
      </c>
      <c r="I647" s="144">
        <v>486450</v>
      </c>
      <c r="J647" s="144"/>
      <c r="K647" s="144"/>
      <c r="L647" s="471">
        <v>486450</v>
      </c>
      <c r="M647" s="144"/>
      <c r="N647" s="407"/>
      <c r="O647" s="407"/>
      <c r="P647" s="407"/>
      <c r="Q647" s="407"/>
      <c r="R647" s="407"/>
      <c r="S647" s="407">
        <v>180512</v>
      </c>
      <c r="T647" s="407">
        <v>70100</v>
      </c>
      <c r="U647" s="407"/>
      <c r="V647" s="407"/>
      <c r="W647" s="407">
        <v>131200</v>
      </c>
      <c r="X647" s="407">
        <f>145940-131200</f>
        <v>14740</v>
      </c>
      <c r="Y647" s="407">
        <f>340510-180512-70100</f>
        <v>89898</v>
      </c>
      <c r="Z647" s="407">
        <f>180512+70100+131173.2</f>
        <v>381785.2</v>
      </c>
      <c r="AA647" s="407">
        <f t="shared" si="81"/>
        <v>14766.8</v>
      </c>
      <c r="AC647" s="499"/>
      <c r="AD647" s="513">
        <v>486450</v>
      </c>
      <c r="AE647" s="508">
        <v>644286</v>
      </c>
      <c r="AF647" s="507" t="s">
        <v>545</v>
      </c>
      <c r="AG647" s="507" t="s">
        <v>1127</v>
      </c>
      <c r="AH647" s="507" t="s">
        <v>1128</v>
      </c>
    </row>
    <row r="648" spans="1:34" ht="15.75">
      <c r="A648" s="258"/>
      <c r="B648" s="196"/>
      <c r="C648" s="135"/>
      <c r="D648" s="217"/>
      <c r="E648" s="142"/>
      <c r="F648" s="143"/>
      <c r="G648" s="142"/>
      <c r="H648" s="417"/>
      <c r="I648" s="144"/>
      <c r="J648" s="144"/>
      <c r="K648" s="144"/>
      <c r="L648" s="144"/>
      <c r="M648" s="144"/>
      <c r="N648" s="407"/>
      <c r="O648" s="407"/>
      <c r="P648" s="407"/>
      <c r="Q648" s="407"/>
      <c r="R648" s="407"/>
      <c r="S648" s="407"/>
      <c r="T648" s="407"/>
      <c r="U648" s="407"/>
      <c r="V648" s="407"/>
      <c r="W648" s="407"/>
      <c r="X648" s="407"/>
      <c r="Y648" s="407"/>
      <c r="Z648" s="407"/>
      <c r="AA648" s="407">
        <f t="shared" si="81"/>
        <v>0</v>
      </c>
      <c r="AC648" s="499"/>
      <c r="AD648" s="513"/>
      <c r="AE648" s="508"/>
      <c r="AF648" s="508"/>
      <c r="AG648" s="508"/>
      <c r="AH648" s="508"/>
    </row>
    <row r="649" spans="1:34" ht="18.75" customHeight="1">
      <c r="A649" s="233" t="s">
        <v>1644</v>
      </c>
      <c r="B649" s="584" t="s">
        <v>2128</v>
      </c>
      <c r="C649" s="584"/>
      <c r="D649" s="584"/>
      <c r="E649" s="193"/>
      <c r="F649" s="194"/>
      <c r="G649" s="193"/>
      <c r="H649" s="425"/>
      <c r="I649" s="132">
        <f>I650+I670+I665+I666+I690+I688</f>
        <v>960154.54</v>
      </c>
      <c r="J649" s="132">
        <f aca="true" t="shared" si="86" ref="J649:Z649">J650+J670+J665+J666+J690+J688</f>
        <v>294362</v>
      </c>
      <c r="K649" s="132">
        <f t="shared" si="86"/>
        <v>0</v>
      </c>
      <c r="L649" s="132">
        <f t="shared" si="86"/>
        <v>1014185.64</v>
      </c>
      <c r="M649" s="132">
        <f t="shared" si="86"/>
        <v>0</v>
      </c>
      <c r="N649" s="132">
        <f t="shared" si="86"/>
        <v>0</v>
      </c>
      <c r="O649" s="132">
        <f t="shared" si="86"/>
        <v>208485.64</v>
      </c>
      <c r="P649" s="132">
        <f t="shared" si="86"/>
        <v>51429</v>
      </c>
      <c r="Q649" s="132">
        <f t="shared" si="86"/>
        <v>36895</v>
      </c>
      <c r="R649" s="132">
        <f t="shared" si="86"/>
        <v>41000</v>
      </c>
      <c r="S649" s="132">
        <f t="shared" si="86"/>
        <v>410000</v>
      </c>
      <c r="T649" s="132">
        <f t="shared" si="86"/>
        <v>82000</v>
      </c>
      <c r="U649" s="132">
        <f t="shared" si="86"/>
        <v>-273929</v>
      </c>
      <c r="V649" s="132">
        <f t="shared" si="86"/>
        <v>277500</v>
      </c>
      <c r="W649" s="132">
        <f t="shared" si="86"/>
        <v>15273.9</v>
      </c>
      <c r="X649" s="132">
        <f t="shared" si="86"/>
        <v>74700</v>
      </c>
      <c r="Y649" s="132">
        <f t="shared" si="86"/>
        <v>36800</v>
      </c>
      <c r="Z649" s="132">
        <f t="shared" si="86"/>
        <v>533142.24</v>
      </c>
      <c r="AA649" s="407">
        <f t="shared" si="81"/>
        <v>390212.3</v>
      </c>
      <c r="AC649" s="499"/>
      <c r="AD649" s="513"/>
      <c r="AE649" s="508"/>
      <c r="AF649" s="508"/>
      <c r="AG649" s="508"/>
      <c r="AH649" s="508"/>
    </row>
    <row r="650" spans="1:34" ht="15.75" customHeight="1">
      <c r="A650" s="558" t="s">
        <v>1756</v>
      </c>
      <c r="B650" s="560" t="s">
        <v>1458</v>
      </c>
      <c r="C650" s="195"/>
      <c r="D650" s="216" t="s">
        <v>1456</v>
      </c>
      <c r="E650" s="158"/>
      <c r="F650" s="159"/>
      <c r="G650" s="158"/>
      <c r="H650" s="419"/>
      <c r="I650" s="139">
        <f>SUM(I653:I656)</f>
        <v>173638.64</v>
      </c>
      <c r="J650" s="139">
        <f aca="true" t="shared" si="87" ref="J650:Z650">SUM(J651:J660)</f>
        <v>0</v>
      </c>
      <c r="K650" s="139">
        <f t="shared" si="87"/>
        <v>0</v>
      </c>
      <c r="L650" s="139">
        <f t="shared" si="87"/>
        <v>177605.64</v>
      </c>
      <c r="M650" s="139">
        <f t="shared" si="87"/>
        <v>0</v>
      </c>
      <c r="N650" s="139">
        <f t="shared" si="87"/>
        <v>0</v>
      </c>
      <c r="O650" s="139">
        <f t="shared" si="87"/>
        <v>177605.64</v>
      </c>
      <c r="P650" s="139">
        <f t="shared" si="87"/>
        <v>0</v>
      </c>
      <c r="Q650" s="139">
        <f t="shared" si="87"/>
        <v>0</v>
      </c>
      <c r="R650" s="139">
        <f t="shared" si="87"/>
        <v>0</v>
      </c>
      <c r="S650" s="139">
        <f t="shared" si="87"/>
        <v>0</v>
      </c>
      <c r="T650" s="139">
        <f t="shared" si="87"/>
        <v>0</v>
      </c>
      <c r="U650" s="139">
        <f t="shared" si="87"/>
        <v>-3967</v>
      </c>
      <c r="V650" s="139">
        <f t="shared" si="87"/>
        <v>0</v>
      </c>
      <c r="W650" s="139">
        <f t="shared" si="87"/>
        <v>0</v>
      </c>
      <c r="X650" s="139">
        <f t="shared" si="87"/>
        <v>0</v>
      </c>
      <c r="Y650" s="139">
        <f t="shared" si="87"/>
        <v>0</v>
      </c>
      <c r="Z650" s="139">
        <f t="shared" si="87"/>
        <v>173638.64</v>
      </c>
      <c r="AA650" s="407">
        <f t="shared" si="81"/>
        <v>0</v>
      </c>
      <c r="AC650" s="499"/>
      <c r="AD650" s="513"/>
      <c r="AE650" s="508"/>
      <c r="AF650" s="508"/>
      <c r="AG650" s="508"/>
      <c r="AH650" s="508"/>
    </row>
    <row r="651" spans="1:34" ht="31.5" customHeight="1" hidden="1">
      <c r="A651" s="559"/>
      <c r="B651" s="561"/>
      <c r="C651" s="167" t="s">
        <v>2129</v>
      </c>
      <c r="D651" s="208" t="s">
        <v>2130</v>
      </c>
      <c r="E651" s="142"/>
      <c r="F651" s="143"/>
      <c r="G651" s="142"/>
      <c r="H651" s="417"/>
      <c r="I651" s="144" t="e">
        <f>J651+K651+L651+M651+#REF!+#REF!</f>
        <v>#REF!</v>
      </c>
      <c r="J651" s="144"/>
      <c r="K651" s="144"/>
      <c r="L651" s="144"/>
      <c r="M651" s="144"/>
      <c r="N651" s="407"/>
      <c r="O651" s="407"/>
      <c r="P651" s="407"/>
      <c r="Q651" s="407"/>
      <c r="R651" s="407"/>
      <c r="S651" s="407"/>
      <c r="T651" s="407"/>
      <c r="U651" s="407"/>
      <c r="V651" s="407"/>
      <c r="W651" s="407"/>
      <c r="X651" s="407"/>
      <c r="Y651" s="407"/>
      <c r="Z651" s="407"/>
      <c r="AA651" s="407">
        <f t="shared" si="81"/>
        <v>0</v>
      </c>
      <c r="AC651" s="499"/>
      <c r="AD651" s="513"/>
      <c r="AE651" s="508"/>
      <c r="AF651" s="508"/>
      <c r="AG651" s="508"/>
      <c r="AH651" s="508"/>
    </row>
    <row r="652" spans="1:34" ht="15.75" customHeight="1" hidden="1">
      <c r="A652" s="559"/>
      <c r="B652" s="561"/>
      <c r="C652" s="167" t="s">
        <v>2018</v>
      </c>
      <c r="D652" s="208" t="s">
        <v>2019</v>
      </c>
      <c r="E652" s="142"/>
      <c r="F652" s="143"/>
      <c r="G652" s="142"/>
      <c r="H652" s="417"/>
      <c r="I652" s="144" t="e">
        <f>J652+K652+L652+M652+#REF!+#REF!</f>
        <v>#REF!</v>
      </c>
      <c r="J652" s="144"/>
      <c r="K652" s="144"/>
      <c r="L652" s="144"/>
      <c r="M652" s="144"/>
      <c r="N652" s="407"/>
      <c r="O652" s="407"/>
      <c r="P652" s="407"/>
      <c r="Q652" s="407"/>
      <c r="R652" s="407"/>
      <c r="S652" s="407"/>
      <c r="T652" s="407"/>
      <c r="U652" s="407"/>
      <c r="V652" s="407"/>
      <c r="W652" s="407"/>
      <c r="X652" s="407"/>
      <c r="Y652" s="407"/>
      <c r="Z652" s="407"/>
      <c r="AA652" s="407">
        <f t="shared" si="81"/>
        <v>0</v>
      </c>
      <c r="AC652" s="499"/>
      <c r="AD652" s="513"/>
      <c r="AE652" s="508"/>
      <c r="AF652" s="508"/>
      <c r="AG652" s="508"/>
      <c r="AH652" s="508"/>
    </row>
    <row r="653" spans="1:34" ht="31.5">
      <c r="A653" s="559"/>
      <c r="B653" s="561"/>
      <c r="C653" s="167" t="s">
        <v>1197</v>
      </c>
      <c r="D653" s="208" t="s">
        <v>969</v>
      </c>
      <c r="E653" s="142"/>
      <c r="F653" s="143"/>
      <c r="G653" s="142"/>
      <c r="H653" s="417">
        <v>3110</v>
      </c>
      <c r="I653" s="144">
        <v>86738.64</v>
      </c>
      <c r="J653" s="144"/>
      <c r="K653" s="144"/>
      <c r="L653" s="144">
        <v>86738.64</v>
      </c>
      <c r="M653" s="144"/>
      <c r="N653" s="407"/>
      <c r="O653" s="144">
        <v>86738.64</v>
      </c>
      <c r="P653" s="407"/>
      <c r="Q653" s="407"/>
      <c r="R653" s="407"/>
      <c r="S653" s="407"/>
      <c r="T653" s="407"/>
      <c r="U653" s="407"/>
      <c r="V653" s="407"/>
      <c r="W653" s="407"/>
      <c r="X653" s="407"/>
      <c r="Y653" s="407"/>
      <c r="Z653" s="144">
        <v>86738.64</v>
      </c>
      <c r="AA653" s="407">
        <f t="shared" si="81"/>
        <v>0</v>
      </c>
      <c r="AC653" s="499"/>
      <c r="AD653" s="513">
        <v>86738.64</v>
      </c>
      <c r="AE653" s="508">
        <v>86738.64</v>
      </c>
      <c r="AF653" s="507" t="s">
        <v>1111</v>
      </c>
      <c r="AG653" s="508"/>
      <c r="AH653" s="507" t="s">
        <v>1112</v>
      </c>
    </row>
    <row r="654" spans="1:34" ht="47.25" customHeight="1" hidden="1">
      <c r="A654" s="559"/>
      <c r="B654" s="561"/>
      <c r="C654" s="167" t="s">
        <v>970</v>
      </c>
      <c r="D654" s="208" t="s">
        <v>511</v>
      </c>
      <c r="E654" s="142"/>
      <c r="F654" s="143"/>
      <c r="G654" s="142"/>
      <c r="H654" s="417">
        <v>3110</v>
      </c>
      <c r="I654" s="144">
        <v>0</v>
      </c>
      <c r="J654" s="144"/>
      <c r="K654" s="144"/>
      <c r="L654" s="144"/>
      <c r="M654" s="144"/>
      <c r="N654" s="407"/>
      <c r="O654" s="144">
        <v>0</v>
      </c>
      <c r="P654" s="407"/>
      <c r="Q654" s="407"/>
      <c r="R654" s="407"/>
      <c r="S654" s="407"/>
      <c r="T654" s="407"/>
      <c r="U654" s="407"/>
      <c r="V654" s="407"/>
      <c r="W654" s="407"/>
      <c r="X654" s="407"/>
      <c r="Y654" s="407"/>
      <c r="Z654" s="144">
        <v>0</v>
      </c>
      <c r="AA654" s="407">
        <f t="shared" si="81"/>
        <v>0</v>
      </c>
      <c r="AC654" s="499"/>
      <c r="AD654" s="513"/>
      <c r="AE654" s="508"/>
      <c r="AF654" s="508"/>
      <c r="AG654" s="508"/>
      <c r="AH654" s="508"/>
    </row>
    <row r="655" spans="1:34" ht="47.25">
      <c r="A655" s="559"/>
      <c r="B655" s="561"/>
      <c r="C655" s="167"/>
      <c r="D655" s="208" t="s">
        <v>512</v>
      </c>
      <c r="E655" s="142"/>
      <c r="F655" s="143"/>
      <c r="G655" s="142"/>
      <c r="H655" s="417">
        <v>3110</v>
      </c>
      <c r="I655" s="144">
        <v>86900</v>
      </c>
      <c r="J655" s="144"/>
      <c r="K655" s="144"/>
      <c r="L655" s="144">
        <v>86900</v>
      </c>
      <c r="M655" s="144"/>
      <c r="N655" s="407"/>
      <c r="O655" s="144">
        <v>86900</v>
      </c>
      <c r="P655" s="407"/>
      <c r="Q655" s="407"/>
      <c r="R655" s="407"/>
      <c r="S655" s="407"/>
      <c r="T655" s="407"/>
      <c r="U655" s="407"/>
      <c r="V655" s="407"/>
      <c r="W655" s="407"/>
      <c r="X655" s="407"/>
      <c r="Y655" s="407"/>
      <c r="Z655" s="144">
        <v>86900</v>
      </c>
      <c r="AA655" s="407">
        <f t="shared" si="81"/>
        <v>0</v>
      </c>
      <c r="AC655" s="499"/>
      <c r="AD655" s="513">
        <v>86900</v>
      </c>
      <c r="AE655" s="507" t="s">
        <v>1113</v>
      </c>
      <c r="AF655" s="508"/>
      <c r="AG655" s="508"/>
      <c r="AH655" s="507" t="s">
        <v>1112</v>
      </c>
    </row>
    <row r="656" spans="1:34" ht="47.25" hidden="1">
      <c r="A656" s="559"/>
      <c r="B656" s="561"/>
      <c r="C656" s="148" t="s">
        <v>513</v>
      </c>
      <c r="D656" s="141" t="s">
        <v>1328</v>
      </c>
      <c r="E656" s="142"/>
      <c r="F656" s="143"/>
      <c r="G656" s="142"/>
      <c r="H656" s="417">
        <v>3110</v>
      </c>
      <c r="I656" s="144">
        <f>3967-3967</f>
        <v>0</v>
      </c>
      <c r="J656" s="144"/>
      <c r="K656" s="144"/>
      <c r="L656" s="144">
        <v>3967</v>
      </c>
      <c r="M656" s="144"/>
      <c r="N656" s="407"/>
      <c r="O656" s="144">
        <v>3967</v>
      </c>
      <c r="P656" s="407"/>
      <c r="Q656" s="407"/>
      <c r="R656" s="407"/>
      <c r="S656" s="407"/>
      <c r="T656" s="407"/>
      <c r="U656" s="407">
        <v>-3967</v>
      </c>
      <c r="V656" s="407"/>
      <c r="W656" s="407"/>
      <c r="X656" s="407"/>
      <c r="Y656" s="407"/>
      <c r="Z656" s="144">
        <f>3967-3967</f>
        <v>0</v>
      </c>
      <c r="AA656" s="407">
        <f t="shared" si="81"/>
        <v>0</v>
      </c>
      <c r="AC656" s="499"/>
      <c r="AD656" s="513"/>
      <c r="AE656" s="508"/>
      <c r="AF656" s="508"/>
      <c r="AG656" s="508"/>
      <c r="AH656" s="508"/>
    </row>
    <row r="657" spans="1:34" ht="31.5" hidden="1">
      <c r="A657" s="559"/>
      <c r="B657" s="561"/>
      <c r="C657" s="148"/>
      <c r="D657" s="259" t="s">
        <v>1329</v>
      </c>
      <c r="E657" s="142"/>
      <c r="F657" s="143"/>
      <c r="G657" s="142"/>
      <c r="H657" s="417"/>
      <c r="I657" s="144">
        <v>0</v>
      </c>
      <c r="J657" s="144"/>
      <c r="K657" s="144"/>
      <c r="L657" s="144"/>
      <c r="M657" s="144"/>
      <c r="N657" s="407"/>
      <c r="O657" s="407"/>
      <c r="P657" s="407"/>
      <c r="Q657" s="407"/>
      <c r="R657" s="407"/>
      <c r="S657" s="407"/>
      <c r="T657" s="407"/>
      <c r="U657" s="407"/>
      <c r="V657" s="407"/>
      <c r="W657" s="407"/>
      <c r="X657" s="407"/>
      <c r="Y657" s="407"/>
      <c r="Z657" s="407"/>
      <c r="AA657" s="407">
        <f t="shared" si="81"/>
        <v>0</v>
      </c>
      <c r="AC657" s="499"/>
      <c r="AD657" s="513"/>
      <c r="AE657" s="508"/>
      <c r="AF657" s="508"/>
      <c r="AG657" s="508"/>
      <c r="AH657" s="508"/>
    </row>
    <row r="658" spans="1:34" ht="63" hidden="1">
      <c r="A658" s="559"/>
      <c r="B658" s="561"/>
      <c r="C658" s="148"/>
      <c r="D658" s="14" t="s">
        <v>1356</v>
      </c>
      <c r="E658" s="142"/>
      <c r="F658" s="143"/>
      <c r="G658" s="142"/>
      <c r="H658" s="417"/>
      <c r="I658" s="144">
        <v>0</v>
      </c>
      <c r="J658" s="144"/>
      <c r="K658" s="144"/>
      <c r="L658" s="144"/>
      <c r="M658" s="144"/>
      <c r="N658" s="407"/>
      <c r="O658" s="407"/>
      <c r="P658" s="407"/>
      <c r="Q658" s="407"/>
      <c r="R658" s="407"/>
      <c r="S658" s="407"/>
      <c r="T658" s="407"/>
      <c r="U658" s="407"/>
      <c r="V658" s="407"/>
      <c r="W658" s="407"/>
      <c r="X658" s="407"/>
      <c r="Y658" s="407"/>
      <c r="Z658" s="407"/>
      <c r="AA658" s="407">
        <f t="shared" si="81"/>
        <v>0</v>
      </c>
      <c r="AC658" s="499"/>
      <c r="AD658" s="513"/>
      <c r="AE658" s="508"/>
      <c r="AF658" s="508"/>
      <c r="AG658" s="508"/>
      <c r="AH658" s="508"/>
    </row>
    <row r="659" spans="1:34" ht="63" hidden="1">
      <c r="A659" s="559"/>
      <c r="B659" s="561"/>
      <c r="C659" s="148"/>
      <c r="D659" s="14" t="s">
        <v>638</v>
      </c>
      <c r="E659" s="142"/>
      <c r="F659" s="143"/>
      <c r="G659" s="142"/>
      <c r="H659" s="417"/>
      <c r="I659" s="144">
        <v>0</v>
      </c>
      <c r="J659" s="144"/>
      <c r="K659" s="144"/>
      <c r="L659" s="144"/>
      <c r="M659" s="144"/>
      <c r="N659" s="407"/>
      <c r="O659" s="407"/>
      <c r="P659" s="407"/>
      <c r="Q659" s="407"/>
      <c r="R659" s="407"/>
      <c r="S659" s="407"/>
      <c r="T659" s="407"/>
      <c r="U659" s="407"/>
      <c r="V659" s="407"/>
      <c r="W659" s="407"/>
      <c r="X659" s="407"/>
      <c r="Y659" s="407"/>
      <c r="Z659" s="407"/>
      <c r="AA659" s="407">
        <f t="shared" si="81"/>
        <v>0</v>
      </c>
      <c r="AC659" s="499"/>
      <c r="AD659" s="513"/>
      <c r="AE659" s="508"/>
      <c r="AF659" s="508"/>
      <c r="AG659" s="508"/>
      <c r="AH659" s="508"/>
    </row>
    <row r="660" spans="1:34" ht="31.5" hidden="1">
      <c r="A660" s="613"/>
      <c r="B660" s="562"/>
      <c r="C660" s="148"/>
      <c r="D660" s="141" t="s">
        <v>1330</v>
      </c>
      <c r="E660" s="142"/>
      <c r="F660" s="143"/>
      <c r="G660" s="142"/>
      <c r="H660" s="417"/>
      <c r="I660" s="144">
        <v>0</v>
      </c>
      <c r="J660" s="144"/>
      <c r="K660" s="144"/>
      <c r="L660" s="144"/>
      <c r="M660" s="144"/>
      <c r="N660" s="407"/>
      <c r="O660" s="407"/>
      <c r="P660" s="407"/>
      <c r="Q660" s="407"/>
      <c r="R660" s="407"/>
      <c r="S660" s="407"/>
      <c r="T660" s="407"/>
      <c r="U660" s="407"/>
      <c r="V660" s="407"/>
      <c r="W660" s="407"/>
      <c r="X660" s="407"/>
      <c r="Y660" s="407"/>
      <c r="Z660" s="407"/>
      <c r="AA660" s="407">
        <f t="shared" si="81"/>
        <v>0</v>
      </c>
      <c r="AC660" s="499"/>
      <c r="AD660" s="513"/>
      <c r="AE660" s="508"/>
      <c r="AF660" s="508"/>
      <c r="AG660" s="508"/>
      <c r="AH660" s="508"/>
    </row>
    <row r="661" spans="1:34" ht="15.75" hidden="1">
      <c r="A661" s="260"/>
      <c r="B661" s="227"/>
      <c r="C661" s="148"/>
      <c r="D661" s="141"/>
      <c r="E661" s="142"/>
      <c r="F661" s="143"/>
      <c r="G661" s="142"/>
      <c r="H661" s="417"/>
      <c r="I661" s="144"/>
      <c r="J661" s="144"/>
      <c r="K661" s="144"/>
      <c r="L661" s="144"/>
      <c r="M661" s="144"/>
      <c r="N661" s="407"/>
      <c r="O661" s="407"/>
      <c r="P661" s="407"/>
      <c r="Q661" s="407"/>
      <c r="R661" s="407"/>
      <c r="S661" s="407"/>
      <c r="T661" s="407"/>
      <c r="U661" s="407"/>
      <c r="V661" s="407"/>
      <c r="W661" s="407"/>
      <c r="X661" s="407"/>
      <c r="Y661" s="407"/>
      <c r="Z661" s="407"/>
      <c r="AA661" s="407">
        <f t="shared" si="81"/>
        <v>0</v>
      </c>
      <c r="AC661" s="499"/>
      <c r="AD661" s="513"/>
      <c r="AE661" s="508"/>
      <c r="AF661" s="508"/>
      <c r="AG661" s="508"/>
      <c r="AH661" s="508"/>
    </row>
    <row r="662" spans="1:34" ht="15.75" hidden="1">
      <c r="A662" s="260"/>
      <c r="B662" s="227"/>
      <c r="C662" s="148"/>
      <c r="D662" s="141"/>
      <c r="E662" s="142"/>
      <c r="F662" s="143"/>
      <c r="G662" s="142"/>
      <c r="H662" s="417"/>
      <c r="I662" s="144"/>
      <c r="J662" s="144"/>
      <c r="K662" s="144"/>
      <c r="L662" s="144"/>
      <c r="M662" s="144"/>
      <c r="N662" s="407"/>
      <c r="O662" s="407"/>
      <c r="P662" s="407"/>
      <c r="Q662" s="407"/>
      <c r="R662" s="407"/>
      <c r="S662" s="407"/>
      <c r="T662" s="407"/>
      <c r="U662" s="407"/>
      <c r="V662" s="407"/>
      <c r="W662" s="407"/>
      <c r="X662" s="407"/>
      <c r="Y662" s="407"/>
      <c r="Z662" s="407"/>
      <c r="AA662" s="407">
        <f t="shared" si="81"/>
        <v>0</v>
      </c>
      <c r="AC662" s="499"/>
      <c r="AD662" s="513"/>
      <c r="AE662" s="508"/>
      <c r="AF662" s="508"/>
      <c r="AG662" s="508"/>
      <c r="AH662" s="508"/>
    </row>
    <row r="663" spans="1:34" ht="15.75" hidden="1">
      <c r="A663" s="260"/>
      <c r="B663" s="227"/>
      <c r="C663" s="148"/>
      <c r="D663" s="141"/>
      <c r="E663" s="142"/>
      <c r="F663" s="143"/>
      <c r="G663" s="142"/>
      <c r="H663" s="417"/>
      <c r="I663" s="144"/>
      <c r="J663" s="144"/>
      <c r="K663" s="144"/>
      <c r="L663" s="144"/>
      <c r="M663" s="144"/>
      <c r="N663" s="407"/>
      <c r="O663" s="407"/>
      <c r="P663" s="407"/>
      <c r="Q663" s="407"/>
      <c r="R663" s="407"/>
      <c r="S663" s="407"/>
      <c r="T663" s="407"/>
      <c r="U663" s="407"/>
      <c r="V663" s="407"/>
      <c r="W663" s="407"/>
      <c r="X663" s="407"/>
      <c r="Y663" s="407"/>
      <c r="Z663" s="407"/>
      <c r="AA663" s="407">
        <f t="shared" si="81"/>
        <v>0</v>
      </c>
      <c r="AC663" s="499"/>
      <c r="AD663" s="513"/>
      <c r="AE663" s="508"/>
      <c r="AF663" s="508"/>
      <c r="AG663" s="508"/>
      <c r="AH663" s="508"/>
    </row>
    <row r="664" spans="1:34" ht="15.75" hidden="1">
      <c r="A664" s="260"/>
      <c r="B664" s="227"/>
      <c r="C664" s="148"/>
      <c r="D664" s="141"/>
      <c r="E664" s="142"/>
      <c r="F664" s="143"/>
      <c r="G664" s="142"/>
      <c r="H664" s="417"/>
      <c r="I664" s="144"/>
      <c r="J664" s="144"/>
      <c r="K664" s="144"/>
      <c r="L664" s="144"/>
      <c r="M664" s="144"/>
      <c r="N664" s="407"/>
      <c r="O664" s="407"/>
      <c r="P664" s="407"/>
      <c r="Q664" s="407"/>
      <c r="R664" s="407"/>
      <c r="S664" s="407"/>
      <c r="T664" s="407"/>
      <c r="U664" s="407"/>
      <c r="V664" s="407"/>
      <c r="W664" s="407"/>
      <c r="X664" s="407"/>
      <c r="Y664" s="407"/>
      <c r="Z664" s="407"/>
      <c r="AA664" s="407">
        <f t="shared" si="81"/>
        <v>0</v>
      </c>
      <c r="AC664" s="499"/>
      <c r="AD664" s="513"/>
      <c r="AE664" s="508"/>
      <c r="AF664" s="508"/>
      <c r="AG664" s="508"/>
      <c r="AH664" s="508"/>
    </row>
    <row r="665" spans="1:34" ht="161.25" customHeight="1">
      <c r="A665" s="157" t="s">
        <v>1102</v>
      </c>
      <c r="B665" s="480" t="s">
        <v>213</v>
      </c>
      <c r="C665" s="135"/>
      <c r="D665" s="141" t="s">
        <v>214</v>
      </c>
      <c r="E665" s="172">
        <v>281.21</v>
      </c>
      <c r="F665" s="229">
        <f>100%-((E665-G665)/E665)</f>
        <v>1</v>
      </c>
      <c r="G665" s="172">
        <v>281.21</v>
      </c>
      <c r="H665" s="417">
        <v>3240</v>
      </c>
      <c r="I665" s="144">
        <f>294362+7073.9</f>
        <v>301435.9</v>
      </c>
      <c r="J665" s="144">
        <v>294362</v>
      </c>
      <c r="K665" s="462"/>
      <c r="L665" s="144"/>
      <c r="M665" s="144"/>
      <c r="N665" s="407"/>
      <c r="O665" s="407"/>
      <c r="P665" s="407">
        <v>51429</v>
      </c>
      <c r="Q665" s="407">
        <v>36895</v>
      </c>
      <c r="R665" s="407">
        <v>10000</v>
      </c>
      <c r="S665" s="407">
        <v>50000</v>
      </c>
      <c r="T665" s="407">
        <v>70000</v>
      </c>
      <c r="U665" s="407">
        <v>50038</v>
      </c>
      <c r="V665" s="407">
        <v>26000</v>
      </c>
      <c r="W665" s="407">
        <v>7073.9</v>
      </c>
      <c r="X665" s="407"/>
      <c r="Y665" s="407"/>
      <c r="Z665" s="407">
        <f>51428.9+1584+2376+27107.7+50193.2+31921.4+41564.4+8201.9+22193.2+10203.9</f>
        <v>246774.6</v>
      </c>
      <c r="AA665" s="407">
        <f t="shared" si="81"/>
        <v>54661.3</v>
      </c>
      <c r="AC665" s="499"/>
      <c r="AD665" s="513">
        <v>294362</v>
      </c>
      <c r="AE665" s="508"/>
      <c r="AF665" s="508"/>
      <c r="AG665" s="508"/>
      <c r="AH665" s="507" t="s">
        <v>1566</v>
      </c>
    </row>
    <row r="666" spans="1:34" ht="15.75" hidden="1">
      <c r="A666" s="558" t="s">
        <v>1755</v>
      </c>
      <c r="B666" s="560" t="s">
        <v>1956</v>
      </c>
      <c r="C666" s="167" t="s">
        <v>1957</v>
      </c>
      <c r="D666" s="136" t="s">
        <v>1456</v>
      </c>
      <c r="E666" s="158"/>
      <c r="F666" s="159"/>
      <c r="G666" s="158"/>
      <c r="H666" s="419"/>
      <c r="I666" s="139">
        <f>SUM(I667:I669)</f>
        <v>0</v>
      </c>
      <c r="J666" s="139">
        <f>SUM(J667:J669)</f>
        <v>0</v>
      </c>
      <c r="K666" s="139">
        <f>SUM(K667:K669)</f>
        <v>0</v>
      </c>
      <c r="L666" s="139">
        <f>SUM(L667:L669)</f>
        <v>603000</v>
      </c>
      <c r="M666" s="139">
        <f>SUM(M667:M669)</f>
        <v>0</v>
      </c>
      <c r="N666" s="139">
        <f aca="true" t="shared" si="88" ref="N666:Z666">SUM(N667:N669)</f>
        <v>0</v>
      </c>
      <c r="O666" s="139">
        <f t="shared" si="88"/>
        <v>0</v>
      </c>
      <c r="P666" s="139">
        <f t="shared" si="88"/>
        <v>0</v>
      </c>
      <c r="Q666" s="139">
        <f t="shared" si="88"/>
        <v>0</v>
      </c>
      <c r="R666" s="139">
        <f t="shared" si="88"/>
        <v>0</v>
      </c>
      <c r="S666" s="139">
        <f t="shared" si="88"/>
        <v>0</v>
      </c>
      <c r="T666" s="139">
        <f t="shared" si="88"/>
        <v>0</v>
      </c>
      <c r="U666" s="139">
        <f t="shared" si="88"/>
        <v>0</v>
      </c>
      <c r="V666" s="139">
        <f t="shared" si="88"/>
        <v>0</v>
      </c>
      <c r="W666" s="139">
        <f t="shared" si="88"/>
        <v>0</v>
      </c>
      <c r="X666" s="139">
        <f t="shared" si="88"/>
        <v>0</v>
      </c>
      <c r="Y666" s="139">
        <f t="shared" si="88"/>
        <v>0</v>
      </c>
      <c r="Z666" s="139">
        <f t="shared" si="88"/>
        <v>0</v>
      </c>
      <c r="AA666" s="407">
        <f t="shared" si="81"/>
        <v>0</v>
      </c>
      <c r="AC666" s="499"/>
      <c r="AD666" s="519"/>
      <c r="AE666" s="520"/>
      <c r="AF666" s="520"/>
      <c r="AG666" s="520"/>
      <c r="AH666" s="520"/>
    </row>
    <row r="667" spans="1:34" s="362" customFormat="1" ht="31.5" hidden="1">
      <c r="A667" s="559"/>
      <c r="B667" s="561"/>
      <c r="C667" s="167"/>
      <c r="D667" s="14" t="s">
        <v>1593</v>
      </c>
      <c r="E667" s="142"/>
      <c r="F667" s="143"/>
      <c r="G667" s="142"/>
      <c r="H667" s="417">
        <v>3110</v>
      </c>
      <c r="I667" s="49">
        <f>283000-283000</f>
        <v>0</v>
      </c>
      <c r="J667" s="144"/>
      <c r="K667" s="144"/>
      <c r="L667" s="49">
        <v>283000</v>
      </c>
      <c r="M667" s="144"/>
      <c r="N667" s="407"/>
      <c r="O667" s="407"/>
      <c r="P667" s="407"/>
      <c r="Q667" s="407"/>
      <c r="R667" s="407"/>
      <c r="S667" s="407"/>
      <c r="T667" s="407"/>
      <c r="U667" s="407"/>
      <c r="V667" s="407"/>
      <c r="W667" s="407">
        <f>283000-283000</f>
        <v>0</v>
      </c>
      <c r="X667" s="407"/>
      <c r="Y667" s="407"/>
      <c r="Z667" s="407"/>
      <c r="AA667" s="407">
        <f t="shared" si="81"/>
        <v>0</v>
      </c>
      <c r="AC667" s="501"/>
      <c r="AD667" s="521"/>
      <c r="AE667" s="522"/>
      <c r="AF667" s="522"/>
      <c r="AG667" s="522"/>
      <c r="AH667" s="522"/>
    </row>
    <row r="668" spans="1:34" s="362" customFormat="1" ht="63" hidden="1">
      <c r="A668" s="559"/>
      <c r="B668" s="561"/>
      <c r="C668" s="167"/>
      <c r="D668" s="14" t="s">
        <v>412</v>
      </c>
      <c r="E668" s="142"/>
      <c r="F668" s="143"/>
      <c r="G668" s="142"/>
      <c r="H668" s="417">
        <v>3110</v>
      </c>
      <c r="I668" s="49"/>
      <c r="J668" s="144"/>
      <c r="K668" s="144"/>
      <c r="L668" s="49">
        <v>160000</v>
      </c>
      <c r="M668" s="144"/>
      <c r="N668" s="407"/>
      <c r="O668" s="407"/>
      <c r="P668" s="407"/>
      <c r="Q668" s="407"/>
      <c r="R668" s="407"/>
      <c r="S668" s="407"/>
      <c r="T668" s="407"/>
      <c r="U668" s="407"/>
      <c r="V668" s="407"/>
      <c r="W668" s="407"/>
      <c r="X668" s="407"/>
      <c r="Y668" s="407"/>
      <c r="Z668" s="407"/>
      <c r="AA668" s="407">
        <f t="shared" si="81"/>
        <v>0</v>
      </c>
      <c r="AC668" s="501"/>
      <c r="AD668" s="521"/>
      <c r="AE668" s="522"/>
      <c r="AF668" s="522"/>
      <c r="AG668" s="522"/>
      <c r="AH668" s="522"/>
    </row>
    <row r="669" spans="1:34" s="362" customFormat="1" ht="63" hidden="1">
      <c r="A669" s="613"/>
      <c r="B669" s="562"/>
      <c r="C669" s="167"/>
      <c r="D669" s="14" t="s">
        <v>669</v>
      </c>
      <c r="E669" s="142"/>
      <c r="F669" s="143"/>
      <c r="G669" s="142"/>
      <c r="H669" s="417">
        <v>3110</v>
      </c>
      <c r="I669" s="49"/>
      <c r="J669" s="144"/>
      <c r="K669" s="144"/>
      <c r="L669" s="49">
        <v>160000</v>
      </c>
      <c r="M669" s="144"/>
      <c r="N669" s="407"/>
      <c r="O669" s="407"/>
      <c r="P669" s="407"/>
      <c r="Q669" s="407"/>
      <c r="R669" s="407"/>
      <c r="S669" s="407"/>
      <c r="T669" s="407"/>
      <c r="U669" s="407"/>
      <c r="V669" s="407"/>
      <c r="W669" s="407"/>
      <c r="X669" s="407"/>
      <c r="Y669" s="407"/>
      <c r="Z669" s="407"/>
      <c r="AA669" s="407">
        <f t="shared" si="81"/>
        <v>0</v>
      </c>
      <c r="AC669" s="501"/>
      <c r="AD669" s="521"/>
      <c r="AE669" s="522"/>
      <c r="AF669" s="522"/>
      <c r="AG669" s="522"/>
      <c r="AH669" s="522"/>
    </row>
    <row r="670" spans="1:34" ht="15.75" customHeight="1">
      <c r="A670" s="558" t="s">
        <v>304</v>
      </c>
      <c r="B670" s="560" t="s">
        <v>1579</v>
      </c>
      <c r="C670" s="195"/>
      <c r="D670" s="216" t="s">
        <v>1456</v>
      </c>
      <c r="E670" s="158"/>
      <c r="F670" s="159"/>
      <c r="G670" s="158"/>
      <c r="H670" s="419"/>
      <c r="I670" s="139">
        <f>SUM(I675:I687)</f>
        <v>233580</v>
      </c>
      <c r="J670" s="139">
        <f aca="true" t="shared" si="89" ref="J670:Z670">SUM(J675:J687)</f>
        <v>0</v>
      </c>
      <c r="K670" s="139">
        <f t="shared" si="89"/>
        <v>0</v>
      </c>
      <c r="L670" s="139">
        <f t="shared" si="89"/>
        <v>233580</v>
      </c>
      <c r="M670" s="139">
        <f t="shared" si="89"/>
        <v>0</v>
      </c>
      <c r="N670" s="139">
        <f t="shared" si="89"/>
        <v>0</v>
      </c>
      <c r="O670" s="139">
        <f t="shared" si="89"/>
        <v>30880</v>
      </c>
      <c r="P670" s="139">
        <f t="shared" si="89"/>
        <v>0</v>
      </c>
      <c r="Q670" s="139">
        <f t="shared" si="89"/>
        <v>0</v>
      </c>
      <c r="R670" s="139">
        <f t="shared" si="89"/>
        <v>31000</v>
      </c>
      <c r="S670" s="139">
        <f t="shared" si="89"/>
        <v>360000</v>
      </c>
      <c r="T670" s="139">
        <f t="shared" si="89"/>
        <v>12000</v>
      </c>
      <c r="U670" s="139">
        <f t="shared" si="89"/>
        <v>-320000</v>
      </c>
      <c r="V670" s="139">
        <f t="shared" si="89"/>
        <v>0</v>
      </c>
      <c r="W670" s="139">
        <f t="shared" si="89"/>
        <v>8200</v>
      </c>
      <c r="X670" s="139">
        <f t="shared" si="89"/>
        <v>74700</v>
      </c>
      <c r="Y670" s="139">
        <f t="shared" si="89"/>
        <v>36800</v>
      </c>
      <c r="Z670" s="139">
        <f t="shared" si="89"/>
        <v>112729</v>
      </c>
      <c r="AA670" s="407">
        <f t="shared" si="81"/>
        <v>84051</v>
      </c>
      <c r="AC670" s="499"/>
      <c r="AD670" s="519"/>
      <c r="AE670" s="520"/>
      <c r="AF670" s="520"/>
      <c r="AG670" s="520"/>
      <c r="AH670" s="520"/>
    </row>
    <row r="671" spans="1:34" ht="47.25" customHeight="1" hidden="1">
      <c r="A671" s="559"/>
      <c r="B671" s="561"/>
      <c r="C671" s="167" t="s">
        <v>1580</v>
      </c>
      <c r="D671" s="141" t="s">
        <v>1581</v>
      </c>
      <c r="E671" s="142"/>
      <c r="F671" s="143"/>
      <c r="G671" s="142"/>
      <c r="H671" s="417"/>
      <c r="I671" s="144" t="e">
        <f>J671+K671+L671+M671+#REF!+#REF!</f>
        <v>#REF!</v>
      </c>
      <c r="J671" s="144"/>
      <c r="K671" s="144"/>
      <c r="L671" s="144"/>
      <c r="M671" s="144"/>
      <c r="N671" s="407"/>
      <c r="O671" s="407"/>
      <c r="P671" s="407"/>
      <c r="Q671" s="407"/>
      <c r="R671" s="407"/>
      <c r="S671" s="407"/>
      <c r="T671" s="407"/>
      <c r="U671" s="407"/>
      <c r="V671" s="407"/>
      <c r="W671" s="407"/>
      <c r="X671" s="407"/>
      <c r="Y671" s="407"/>
      <c r="Z671" s="407"/>
      <c r="AA671" s="407">
        <f t="shared" si="81"/>
        <v>0</v>
      </c>
      <c r="AC671" s="499"/>
      <c r="AD671" s="513"/>
      <c r="AE671" s="508"/>
      <c r="AF671" s="508"/>
      <c r="AG671" s="508"/>
      <c r="AH671" s="508"/>
    </row>
    <row r="672" spans="1:34" ht="31.5" customHeight="1" hidden="1">
      <c r="A672" s="559"/>
      <c r="B672" s="561"/>
      <c r="C672" s="167" t="s">
        <v>1582</v>
      </c>
      <c r="D672" s="208" t="s">
        <v>1277</v>
      </c>
      <c r="E672" s="142"/>
      <c r="F672" s="143"/>
      <c r="G672" s="142"/>
      <c r="H672" s="417"/>
      <c r="I672" s="144" t="e">
        <f>J672+K672+L672+M672+#REF!+#REF!</f>
        <v>#REF!</v>
      </c>
      <c r="J672" s="144"/>
      <c r="K672" s="144"/>
      <c r="L672" s="144"/>
      <c r="M672" s="144"/>
      <c r="N672" s="407"/>
      <c r="O672" s="407"/>
      <c r="P672" s="407"/>
      <c r="Q672" s="407"/>
      <c r="R672" s="407"/>
      <c r="S672" s="407"/>
      <c r="T672" s="407"/>
      <c r="U672" s="407"/>
      <c r="V672" s="407"/>
      <c r="W672" s="407"/>
      <c r="X672" s="407"/>
      <c r="Y672" s="407"/>
      <c r="Z672" s="407"/>
      <c r="AA672" s="407">
        <f t="shared" si="81"/>
        <v>0</v>
      </c>
      <c r="AC672" s="499"/>
      <c r="AD672" s="513"/>
      <c r="AE672" s="508"/>
      <c r="AF672" s="508"/>
      <c r="AG672" s="508"/>
      <c r="AH672" s="508"/>
    </row>
    <row r="673" spans="1:34" ht="47.25" customHeight="1" hidden="1">
      <c r="A673" s="559"/>
      <c r="B673" s="561"/>
      <c r="C673" s="167" t="s">
        <v>1278</v>
      </c>
      <c r="D673" s="208" t="s">
        <v>1552</v>
      </c>
      <c r="E673" s="142"/>
      <c r="F673" s="143"/>
      <c r="G673" s="142"/>
      <c r="H673" s="417"/>
      <c r="I673" s="144" t="e">
        <f>J673+K673+L673+M673+#REF!+#REF!</f>
        <v>#REF!</v>
      </c>
      <c r="J673" s="144"/>
      <c r="K673" s="144"/>
      <c r="L673" s="144"/>
      <c r="M673" s="144"/>
      <c r="N673" s="407"/>
      <c r="O673" s="407"/>
      <c r="P673" s="407"/>
      <c r="Q673" s="407"/>
      <c r="R673" s="407"/>
      <c r="S673" s="407"/>
      <c r="T673" s="407"/>
      <c r="U673" s="407"/>
      <c r="V673" s="407"/>
      <c r="W673" s="407"/>
      <c r="X673" s="407"/>
      <c r="Y673" s="407"/>
      <c r="Z673" s="407"/>
      <c r="AA673" s="407">
        <f t="shared" si="81"/>
        <v>0</v>
      </c>
      <c r="AC673" s="499"/>
      <c r="AD673" s="513"/>
      <c r="AE673" s="508"/>
      <c r="AF673" s="508"/>
      <c r="AG673" s="508"/>
      <c r="AH673" s="508"/>
    </row>
    <row r="674" spans="1:34" ht="47.25" customHeight="1" hidden="1">
      <c r="A674" s="559"/>
      <c r="B674" s="561"/>
      <c r="C674" s="167" t="s">
        <v>1553</v>
      </c>
      <c r="D674" s="141" t="s">
        <v>1554</v>
      </c>
      <c r="E674" s="142"/>
      <c r="F674" s="143"/>
      <c r="G674" s="142"/>
      <c r="H674" s="417"/>
      <c r="I674" s="144" t="e">
        <f>J674+K674+L674+M674+#REF!+#REF!</f>
        <v>#REF!</v>
      </c>
      <c r="J674" s="144"/>
      <c r="K674" s="144"/>
      <c r="L674" s="144"/>
      <c r="M674" s="144"/>
      <c r="N674" s="407"/>
      <c r="O674" s="407"/>
      <c r="P674" s="407"/>
      <c r="Q674" s="407"/>
      <c r="R674" s="407"/>
      <c r="S674" s="407"/>
      <c r="T674" s="407"/>
      <c r="U674" s="407"/>
      <c r="V674" s="407"/>
      <c r="W674" s="407"/>
      <c r="X674" s="407"/>
      <c r="Y674" s="407"/>
      <c r="Z674" s="407"/>
      <c r="AA674" s="407">
        <f t="shared" si="81"/>
        <v>0</v>
      </c>
      <c r="AC674" s="499"/>
      <c r="AD674" s="513"/>
      <c r="AE674" s="508"/>
      <c r="AF674" s="508"/>
      <c r="AG674" s="508"/>
      <c r="AH674" s="508"/>
    </row>
    <row r="675" spans="1:34" ht="47.25">
      <c r="A675" s="559"/>
      <c r="B675" s="561"/>
      <c r="C675" s="167" t="s">
        <v>1555</v>
      </c>
      <c r="D675" s="141" t="s">
        <v>436</v>
      </c>
      <c r="E675" s="142"/>
      <c r="F675" s="143"/>
      <c r="G675" s="142"/>
      <c r="H675" s="417">
        <v>3110</v>
      </c>
      <c r="I675" s="144">
        <v>6400</v>
      </c>
      <c r="J675" s="144"/>
      <c r="K675" s="144"/>
      <c r="L675" s="144">
        <v>6400</v>
      </c>
      <c r="M675" s="144"/>
      <c r="N675" s="407"/>
      <c r="O675" s="144">
        <v>6400</v>
      </c>
      <c r="P675" s="407"/>
      <c r="Q675" s="407"/>
      <c r="R675" s="407"/>
      <c r="S675" s="407"/>
      <c r="T675" s="407"/>
      <c r="U675" s="407"/>
      <c r="V675" s="407"/>
      <c r="W675" s="407"/>
      <c r="X675" s="407"/>
      <c r="Y675" s="407"/>
      <c r="Z675" s="144">
        <v>6400</v>
      </c>
      <c r="AA675" s="407">
        <f t="shared" si="81"/>
        <v>0</v>
      </c>
      <c r="AC675" s="499"/>
      <c r="AD675" s="513">
        <v>6400</v>
      </c>
      <c r="AE675" s="508">
        <v>6400</v>
      </c>
      <c r="AF675" s="507" t="s">
        <v>1114</v>
      </c>
      <c r="AG675" s="508"/>
      <c r="AH675" s="507" t="s">
        <v>1112</v>
      </c>
    </row>
    <row r="676" spans="1:34" ht="31.5" customHeight="1" hidden="1">
      <c r="A676" s="559"/>
      <c r="B676" s="561"/>
      <c r="C676" s="167"/>
      <c r="D676" s="208" t="s">
        <v>2</v>
      </c>
      <c r="E676" s="142"/>
      <c r="F676" s="143"/>
      <c r="G676" s="142"/>
      <c r="H676" s="417">
        <v>3110</v>
      </c>
      <c r="I676" s="144">
        <v>0</v>
      </c>
      <c r="J676" s="144"/>
      <c r="K676" s="144"/>
      <c r="L676" s="144"/>
      <c r="M676" s="144"/>
      <c r="N676" s="407"/>
      <c r="O676" s="144">
        <v>0</v>
      </c>
      <c r="P676" s="407"/>
      <c r="Q676" s="407"/>
      <c r="R676" s="407"/>
      <c r="S676" s="407"/>
      <c r="T676" s="407"/>
      <c r="U676" s="407"/>
      <c r="V676" s="407"/>
      <c r="W676" s="407"/>
      <c r="X676" s="407"/>
      <c r="Y676" s="407"/>
      <c r="Z676" s="144">
        <v>0</v>
      </c>
      <c r="AA676" s="407">
        <f aca="true" t="shared" si="90" ref="AA676:AA742">N676+O676+P676+Q676+R676+S676+T676+U676+V676+W676+X676-Z676</f>
        <v>0</v>
      </c>
      <c r="AC676" s="499"/>
      <c r="AD676" s="513"/>
      <c r="AE676" s="508"/>
      <c r="AF676" s="508"/>
      <c r="AG676" s="508"/>
      <c r="AH676" s="508"/>
    </row>
    <row r="677" spans="1:34" ht="47.25">
      <c r="A677" s="559"/>
      <c r="B677" s="561"/>
      <c r="C677" s="167" t="s">
        <v>3</v>
      </c>
      <c r="D677" s="141" t="s">
        <v>780</v>
      </c>
      <c r="E677" s="142"/>
      <c r="F677" s="143"/>
      <c r="G677" s="142"/>
      <c r="H677" s="417">
        <v>3110</v>
      </c>
      <c r="I677" s="144">
        <v>24480</v>
      </c>
      <c r="J677" s="144"/>
      <c r="K677" s="144"/>
      <c r="L677" s="144">
        <v>24480</v>
      </c>
      <c r="M677" s="144"/>
      <c r="N677" s="407"/>
      <c r="O677" s="144">
        <v>24480</v>
      </c>
      <c r="P677" s="407"/>
      <c r="Q677" s="407"/>
      <c r="R677" s="407"/>
      <c r="S677" s="407"/>
      <c r="T677" s="407"/>
      <c r="U677" s="407"/>
      <c r="V677" s="407"/>
      <c r="W677" s="407"/>
      <c r="X677" s="407"/>
      <c r="Y677" s="407"/>
      <c r="Z677" s="144">
        <v>24480</v>
      </c>
      <c r="AA677" s="407">
        <f t="shared" si="90"/>
        <v>0</v>
      </c>
      <c r="AC677" s="499"/>
      <c r="AD677" s="513">
        <v>24480</v>
      </c>
      <c r="AE677" s="508">
        <v>24480</v>
      </c>
      <c r="AF677" s="507" t="s">
        <v>1968</v>
      </c>
      <c r="AG677" s="508"/>
      <c r="AH677" s="507" t="s">
        <v>1112</v>
      </c>
    </row>
    <row r="678" spans="1:34" ht="38.25" hidden="1">
      <c r="A678" s="559"/>
      <c r="B678" s="561"/>
      <c r="C678" s="167"/>
      <c r="D678" s="14" t="s">
        <v>639</v>
      </c>
      <c r="E678" s="142"/>
      <c r="F678" s="143"/>
      <c r="G678" s="142"/>
      <c r="H678" s="417">
        <v>3110</v>
      </c>
      <c r="I678" s="144">
        <f>82900-82900</f>
        <v>0</v>
      </c>
      <c r="J678" s="144"/>
      <c r="K678" s="144"/>
      <c r="L678" s="372">
        <v>82900</v>
      </c>
      <c r="M678" s="144"/>
      <c r="N678" s="407"/>
      <c r="O678" s="407"/>
      <c r="P678" s="407"/>
      <c r="Q678" s="407"/>
      <c r="R678" s="407"/>
      <c r="S678" s="407"/>
      <c r="T678" s="407">
        <f>82900-82900</f>
        <v>0</v>
      </c>
      <c r="U678" s="407"/>
      <c r="V678" s="407"/>
      <c r="W678" s="407">
        <f>8200-8200</f>
        <v>0</v>
      </c>
      <c r="X678" s="407">
        <f>74700-74700</f>
        <v>0</v>
      </c>
      <c r="Y678" s="407"/>
      <c r="Z678" s="407"/>
      <c r="AA678" s="407">
        <f t="shared" si="90"/>
        <v>0</v>
      </c>
      <c r="AC678" s="499"/>
      <c r="AD678" s="513">
        <v>82900</v>
      </c>
      <c r="AE678" s="508"/>
      <c r="AF678" s="508"/>
      <c r="AG678" s="508"/>
      <c r="AH678" s="507" t="s">
        <v>1969</v>
      </c>
    </row>
    <row r="679" spans="1:34" ht="31.5">
      <c r="A679" s="559"/>
      <c r="B679" s="561"/>
      <c r="C679" s="167"/>
      <c r="D679" s="14" t="s">
        <v>640</v>
      </c>
      <c r="E679" s="142"/>
      <c r="F679" s="143"/>
      <c r="G679" s="142"/>
      <c r="H679" s="417">
        <v>3110</v>
      </c>
      <c r="I679" s="144">
        <v>14000</v>
      </c>
      <c r="J679" s="144"/>
      <c r="K679" s="144"/>
      <c r="L679" s="372">
        <v>14000</v>
      </c>
      <c r="M679" s="144"/>
      <c r="N679" s="407"/>
      <c r="O679" s="407"/>
      <c r="P679" s="407"/>
      <c r="Q679" s="407"/>
      <c r="R679" s="407"/>
      <c r="S679" s="407"/>
      <c r="T679" s="407"/>
      <c r="U679" s="407">
        <f>14000-14000</f>
        <v>0</v>
      </c>
      <c r="V679" s="407"/>
      <c r="W679" s="407"/>
      <c r="X679" s="407"/>
      <c r="Y679" s="407">
        <v>14000</v>
      </c>
      <c r="Z679" s="407"/>
      <c r="AA679" s="407">
        <f t="shared" si="90"/>
        <v>0</v>
      </c>
      <c r="AC679" s="499"/>
      <c r="AD679" s="513">
        <v>14000</v>
      </c>
      <c r="AE679" s="508"/>
      <c r="AF679" s="508"/>
      <c r="AG679" s="508"/>
      <c r="AH679" s="507" t="s">
        <v>1970</v>
      </c>
    </row>
    <row r="680" spans="1:34" ht="51">
      <c r="A680" s="559"/>
      <c r="B680" s="561"/>
      <c r="C680" s="167"/>
      <c r="D680" s="262" t="s">
        <v>641</v>
      </c>
      <c r="E680" s="142"/>
      <c r="F680" s="143"/>
      <c r="G680" s="142"/>
      <c r="H680" s="417">
        <v>3110</v>
      </c>
      <c r="I680" s="144">
        <v>40000</v>
      </c>
      <c r="J680" s="144"/>
      <c r="K680" s="144"/>
      <c r="L680" s="372">
        <v>40000</v>
      </c>
      <c r="M680" s="144"/>
      <c r="N680" s="407"/>
      <c r="O680" s="407"/>
      <c r="P680" s="407"/>
      <c r="Q680" s="407"/>
      <c r="R680" s="407"/>
      <c r="S680" s="407">
        <v>40000</v>
      </c>
      <c r="T680" s="407"/>
      <c r="U680" s="407"/>
      <c r="V680" s="407"/>
      <c r="W680" s="407"/>
      <c r="X680" s="407"/>
      <c r="Y680" s="407"/>
      <c r="Z680" s="407">
        <v>39995.4</v>
      </c>
      <c r="AA680" s="407">
        <f t="shared" si="90"/>
        <v>4.6</v>
      </c>
      <c r="AC680" s="499"/>
      <c r="AD680" s="513">
        <v>40000</v>
      </c>
      <c r="AE680" s="508">
        <v>39995.4</v>
      </c>
      <c r="AF680" s="507" t="s">
        <v>1971</v>
      </c>
      <c r="AG680" s="508"/>
      <c r="AH680" s="507" t="s">
        <v>1396</v>
      </c>
    </row>
    <row r="681" spans="1:34" ht="89.25">
      <c r="A681" s="559"/>
      <c r="B681" s="561"/>
      <c r="C681" s="167"/>
      <c r="D681" s="262" t="s">
        <v>22</v>
      </c>
      <c r="E681" s="142"/>
      <c r="F681" s="143"/>
      <c r="G681" s="142"/>
      <c r="H681" s="417">
        <v>3110</v>
      </c>
      <c r="I681" s="144">
        <v>31000</v>
      </c>
      <c r="J681" s="144"/>
      <c r="K681" s="144"/>
      <c r="L681" s="372">
        <v>31000</v>
      </c>
      <c r="M681" s="144"/>
      <c r="N681" s="407"/>
      <c r="O681" s="407"/>
      <c r="P681" s="407"/>
      <c r="Q681" s="407"/>
      <c r="R681" s="407">
        <f>31000-10000</f>
        <v>21000</v>
      </c>
      <c r="S681" s="407"/>
      <c r="T681" s="407"/>
      <c r="U681" s="407"/>
      <c r="V681" s="407"/>
      <c r="W681" s="407"/>
      <c r="X681" s="407"/>
      <c r="Y681" s="407">
        <v>10000</v>
      </c>
      <c r="Z681" s="407">
        <v>19999</v>
      </c>
      <c r="AA681" s="407">
        <f t="shared" si="90"/>
        <v>1001</v>
      </c>
      <c r="AC681" s="499"/>
      <c r="AD681" s="513">
        <v>31000</v>
      </c>
      <c r="AE681" s="508">
        <v>31000</v>
      </c>
      <c r="AF681" s="507" t="s">
        <v>2092</v>
      </c>
      <c r="AG681" s="508"/>
      <c r="AH681" s="507" t="s">
        <v>2093</v>
      </c>
    </row>
    <row r="682" spans="1:34" ht="51">
      <c r="A682" s="559"/>
      <c r="B682" s="561"/>
      <c r="C682" s="167"/>
      <c r="D682" s="262" t="s">
        <v>1523</v>
      </c>
      <c r="E682" s="142"/>
      <c r="F682" s="143"/>
      <c r="G682" s="142"/>
      <c r="H682" s="417">
        <v>3132</v>
      </c>
      <c r="I682" s="144">
        <v>82900</v>
      </c>
      <c r="J682" s="144"/>
      <c r="K682" s="144"/>
      <c r="L682" s="372"/>
      <c r="M682" s="144"/>
      <c r="N682" s="407"/>
      <c r="O682" s="407"/>
      <c r="P682" s="407"/>
      <c r="Q682" s="407"/>
      <c r="R682" s="407"/>
      <c r="S682" s="407"/>
      <c r="T682" s="407"/>
      <c r="U682" s="407"/>
      <c r="V682" s="407"/>
      <c r="W682" s="407">
        <v>8200</v>
      </c>
      <c r="X682" s="407">
        <v>74700</v>
      </c>
      <c r="Y682" s="407"/>
      <c r="Z682" s="407"/>
      <c r="AA682" s="407">
        <f t="shared" si="90"/>
        <v>82900</v>
      </c>
      <c r="AC682" s="499"/>
      <c r="AD682" s="513">
        <v>82900</v>
      </c>
      <c r="AE682" s="508"/>
      <c r="AF682" s="508"/>
      <c r="AG682" s="508"/>
      <c r="AH682" s="507" t="s">
        <v>2091</v>
      </c>
    </row>
    <row r="683" spans="1:34" ht="63">
      <c r="A683" s="559"/>
      <c r="B683" s="561"/>
      <c r="C683" s="167"/>
      <c r="D683" s="262" t="s">
        <v>2052</v>
      </c>
      <c r="E683" s="142"/>
      <c r="F683" s="143"/>
      <c r="G683" s="142"/>
      <c r="H683" s="417">
        <v>3110</v>
      </c>
      <c r="I683" s="144">
        <v>12000</v>
      </c>
      <c r="J683" s="144"/>
      <c r="K683" s="144"/>
      <c r="L683" s="372">
        <v>12000</v>
      </c>
      <c r="M683" s="144"/>
      <c r="N683" s="407"/>
      <c r="O683" s="407"/>
      <c r="P683" s="407"/>
      <c r="Q683" s="407"/>
      <c r="R683" s="407"/>
      <c r="S683" s="407"/>
      <c r="T683" s="407">
        <v>12000</v>
      </c>
      <c r="U683" s="407"/>
      <c r="V683" s="407"/>
      <c r="W683" s="407"/>
      <c r="X683" s="407"/>
      <c r="Y683" s="407"/>
      <c r="Z683" s="407">
        <v>11866.6</v>
      </c>
      <c r="AA683" s="407">
        <f t="shared" si="90"/>
        <v>133.4</v>
      </c>
      <c r="AC683" s="499"/>
      <c r="AD683" s="513">
        <v>12000</v>
      </c>
      <c r="AE683" s="508">
        <v>11866.6</v>
      </c>
      <c r="AF683" s="507" t="s">
        <v>2094</v>
      </c>
      <c r="AG683" s="508"/>
      <c r="AH683" s="507" t="s">
        <v>2095</v>
      </c>
    </row>
    <row r="684" spans="1:34" ht="48" customHeight="1">
      <c r="A684" s="559"/>
      <c r="B684" s="561"/>
      <c r="C684" s="167"/>
      <c r="D684" s="262" t="s">
        <v>1469</v>
      </c>
      <c r="E684" s="142"/>
      <c r="F684" s="143"/>
      <c r="G684" s="142"/>
      <c r="H684" s="417">
        <v>3110</v>
      </c>
      <c r="I684" s="144">
        <v>12800</v>
      </c>
      <c r="J684" s="144"/>
      <c r="K684" s="144"/>
      <c r="L684" s="372">
        <v>12800</v>
      </c>
      <c r="M684" s="144"/>
      <c r="N684" s="407"/>
      <c r="O684" s="407"/>
      <c r="P684" s="407"/>
      <c r="Q684" s="407"/>
      <c r="R684" s="407"/>
      <c r="S684" s="407"/>
      <c r="T684" s="407"/>
      <c r="U684" s="407">
        <f>12800-12800</f>
        <v>0</v>
      </c>
      <c r="V684" s="407"/>
      <c r="W684" s="407"/>
      <c r="X684" s="407"/>
      <c r="Y684" s="407">
        <v>12800</v>
      </c>
      <c r="Z684" s="407"/>
      <c r="AA684" s="407">
        <f t="shared" si="90"/>
        <v>0</v>
      </c>
      <c r="AC684" s="499"/>
      <c r="AD684" s="513">
        <v>12800</v>
      </c>
      <c r="AE684" s="508"/>
      <c r="AF684" s="508"/>
      <c r="AG684" s="508"/>
      <c r="AH684" s="507" t="s">
        <v>1970</v>
      </c>
    </row>
    <row r="685" spans="1:34" ht="31.5">
      <c r="A685" s="559"/>
      <c r="B685" s="561"/>
      <c r="C685" s="167"/>
      <c r="D685" s="263" t="s">
        <v>1470</v>
      </c>
      <c r="E685" s="142"/>
      <c r="F685" s="143"/>
      <c r="G685" s="142"/>
      <c r="H685" s="417">
        <v>3110</v>
      </c>
      <c r="I685" s="144">
        <v>10000</v>
      </c>
      <c r="J685" s="144"/>
      <c r="K685" s="144"/>
      <c r="L685" s="372">
        <v>10000</v>
      </c>
      <c r="M685" s="144"/>
      <c r="N685" s="407"/>
      <c r="O685" s="407"/>
      <c r="P685" s="407"/>
      <c r="Q685" s="407"/>
      <c r="R685" s="407">
        <f>10000-10000+10000</f>
        <v>10000</v>
      </c>
      <c r="S685" s="407"/>
      <c r="T685" s="407"/>
      <c r="U685" s="407"/>
      <c r="V685" s="407"/>
      <c r="W685" s="407"/>
      <c r="X685" s="407"/>
      <c r="Y685" s="407">
        <f>10000-10000</f>
        <v>0</v>
      </c>
      <c r="Z685" s="407">
        <v>9988</v>
      </c>
      <c r="AA685" s="407">
        <f t="shared" si="90"/>
        <v>12</v>
      </c>
      <c r="AC685" s="499"/>
      <c r="AD685" s="513">
        <v>10000</v>
      </c>
      <c r="AE685" s="508">
        <v>9988</v>
      </c>
      <c r="AF685" s="507" t="s">
        <v>2096</v>
      </c>
      <c r="AG685" s="508"/>
      <c r="AH685" s="507" t="s">
        <v>2095</v>
      </c>
    </row>
    <row r="686" spans="1:34" ht="63" hidden="1">
      <c r="A686" s="559"/>
      <c r="B686" s="561"/>
      <c r="C686" s="167"/>
      <c r="D686" s="263" t="s">
        <v>412</v>
      </c>
      <c r="E686" s="142"/>
      <c r="F686" s="143"/>
      <c r="G686" s="142"/>
      <c r="H686" s="417">
        <v>3110</v>
      </c>
      <c r="I686" s="144">
        <f>160000-160000</f>
        <v>0</v>
      </c>
      <c r="J686" s="144"/>
      <c r="K686" s="144"/>
      <c r="L686" s="372"/>
      <c r="M686" s="144"/>
      <c r="N686" s="407"/>
      <c r="O686" s="407"/>
      <c r="P686" s="407"/>
      <c r="Q686" s="407"/>
      <c r="R686" s="407"/>
      <c r="S686" s="407">
        <v>160000</v>
      </c>
      <c r="T686" s="407"/>
      <c r="U686" s="407">
        <v>-160000</v>
      </c>
      <c r="V686" s="407"/>
      <c r="W686" s="407"/>
      <c r="X686" s="407"/>
      <c r="Y686" s="407"/>
      <c r="Z686" s="407"/>
      <c r="AA686" s="407">
        <f t="shared" si="90"/>
        <v>0</v>
      </c>
      <c r="AC686" s="499"/>
      <c r="AD686" s="513"/>
      <c r="AE686" s="508"/>
      <c r="AF686" s="508"/>
      <c r="AG686" s="508"/>
      <c r="AH686" s="508"/>
    </row>
    <row r="687" spans="1:34" ht="63" hidden="1">
      <c r="A687" s="613"/>
      <c r="B687" s="562"/>
      <c r="C687" s="167"/>
      <c r="D687" s="263" t="s">
        <v>669</v>
      </c>
      <c r="E687" s="142"/>
      <c r="F687" s="143"/>
      <c r="G687" s="142"/>
      <c r="H687" s="417">
        <v>3110</v>
      </c>
      <c r="I687" s="144">
        <f>160000-160000</f>
        <v>0</v>
      </c>
      <c r="J687" s="144"/>
      <c r="K687" s="144"/>
      <c r="L687" s="372"/>
      <c r="M687" s="144"/>
      <c r="N687" s="407"/>
      <c r="O687" s="407"/>
      <c r="P687" s="407"/>
      <c r="Q687" s="407"/>
      <c r="R687" s="407"/>
      <c r="S687" s="407">
        <v>160000</v>
      </c>
      <c r="T687" s="407"/>
      <c r="U687" s="407">
        <v>-160000</v>
      </c>
      <c r="V687" s="407"/>
      <c r="W687" s="407"/>
      <c r="X687" s="407"/>
      <c r="Y687" s="407"/>
      <c r="Z687" s="407"/>
      <c r="AA687" s="407">
        <f t="shared" si="90"/>
        <v>0</v>
      </c>
      <c r="AC687" s="499"/>
      <c r="AD687" s="513"/>
      <c r="AE687" s="508"/>
      <c r="AF687" s="508"/>
      <c r="AG687" s="508"/>
      <c r="AH687" s="508"/>
    </row>
    <row r="688" spans="1:34" s="30" customFormat="1" ht="15.75">
      <c r="A688" s="558" t="s">
        <v>150</v>
      </c>
      <c r="B688" s="560" t="s">
        <v>217</v>
      </c>
      <c r="C688" s="227"/>
      <c r="D688" s="549" t="s">
        <v>1456</v>
      </c>
      <c r="E688" s="137"/>
      <c r="F688" s="138"/>
      <c r="G688" s="137"/>
      <c r="H688" s="416"/>
      <c r="I688" s="139">
        <f>I689</f>
        <v>251500</v>
      </c>
      <c r="J688" s="139">
        <f aca="true" t="shared" si="91" ref="J688:Z688">J689</f>
        <v>0</v>
      </c>
      <c r="K688" s="139">
        <f t="shared" si="91"/>
        <v>0</v>
      </c>
      <c r="L688" s="139">
        <f t="shared" si="91"/>
        <v>0</v>
      </c>
      <c r="M688" s="139">
        <f t="shared" si="91"/>
        <v>0</v>
      </c>
      <c r="N688" s="139">
        <f t="shared" si="91"/>
        <v>0</v>
      </c>
      <c r="O688" s="139">
        <f t="shared" si="91"/>
        <v>0</v>
      </c>
      <c r="P688" s="139">
        <f t="shared" si="91"/>
        <v>0</v>
      </c>
      <c r="Q688" s="139">
        <f t="shared" si="91"/>
        <v>0</v>
      </c>
      <c r="R688" s="139">
        <f t="shared" si="91"/>
        <v>0</v>
      </c>
      <c r="S688" s="139">
        <f t="shared" si="91"/>
        <v>0</v>
      </c>
      <c r="T688" s="139">
        <f t="shared" si="91"/>
        <v>0</v>
      </c>
      <c r="U688" s="139">
        <f t="shared" si="91"/>
        <v>0</v>
      </c>
      <c r="V688" s="139">
        <f t="shared" si="91"/>
        <v>0</v>
      </c>
      <c r="W688" s="139">
        <f t="shared" si="91"/>
        <v>0</v>
      </c>
      <c r="X688" s="139">
        <f t="shared" si="91"/>
        <v>251500</v>
      </c>
      <c r="Y688" s="139">
        <f t="shared" si="91"/>
        <v>0</v>
      </c>
      <c r="Z688" s="139">
        <f t="shared" si="91"/>
        <v>0</v>
      </c>
      <c r="AA688" s="407">
        <f t="shared" si="90"/>
        <v>251500</v>
      </c>
      <c r="AC688" s="59"/>
      <c r="AD688" s="514"/>
      <c r="AE688" s="509"/>
      <c r="AF688" s="509"/>
      <c r="AG688" s="509"/>
      <c r="AH688" s="509"/>
    </row>
    <row r="689" spans="1:34" ht="93" customHeight="1">
      <c r="A689" s="613"/>
      <c r="B689" s="562"/>
      <c r="C689" s="167"/>
      <c r="D689" s="263" t="s">
        <v>220</v>
      </c>
      <c r="E689" s="142"/>
      <c r="F689" s="143"/>
      <c r="G689" s="142"/>
      <c r="H689" s="417">
        <v>3220</v>
      </c>
      <c r="I689" s="144">
        <v>251500</v>
      </c>
      <c r="J689" s="144"/>
      <c r="K689" s="144"/>
      <c r="L689" s="372"/>
      <c r="M689" s="144"/>
      <c r="N689" s="407"/>
      <c r="O689" s="407"/>
      <c r="P689" s="407"/>
      <c r="Q689" s="407"/>
      <c r="R689" s="407"/>
      <c r="S689" s="407"/>
      <c r="T689" s="407"/>
      <c r="U689" s="407"/>
      <c r="V689" s="407"/>
      <c r="W689" s="407"/>
      <c r="X689" s="407">
        <v>251500</v>
      </c>
      <c r="Y689" s="407"/>
      <c r="Z689" s="407"/>
      <c r="AA689" s="407">
        <f t="shared" si="90"/>
        <v>251500</v>
      </c>
      <c r="AC689" s="499"/>
      <c r="AD689" s="513"/>
      <c r="AE689" s="508"/>
      <c r="AF689" s="508"/>
      <c r="AG689" s="508"/>
      <c r="AH689" s="508"/>
    </row>
    <row r="690" spans="1:34" ht="15.75" hidden="1">
      <c r="A690" s="558" t="s">
        <v>1449</v>
      </c>
      <c r="B690" s="560" t="s">
        <v>635</v>
      </c>
      <c r="C690" s="167"/>
      <c r="D690" s="136" t="s">
        <v>1456</v>
      </c>
      <c r="E690" s="137"/>
      <c r="F690" s="138"/>
      <c r="G690" s="137"/>
      <c r="H690" s="416"/>
      <c r="I690" s="139">
        <f>I691</f>
        <v>0</v>
      </c>
      <c r="J690" s="139">
        <f aca="true" t="shared" si="92" ref="J690:Z690">J691</f>
        <v>0</v>
      </c>
      <c r="K690" s="139">
        <f t="shared" si="92"/>
        <v>0</v>
      </c>
      <c r="L690" s="139">
        <f t="shared" si="92"/>
        <v>0</v>
      </c>
      <c r="M690" s="139">
        <f t="shared" si="92"/>
        <v>0</v>
      </c>
      <c r="N690" s="139">
        <f t="shared" si="92"/>
        <v>0</v>
      </c>
      <c r="O690" s="139">
        <f t="shared" si="92"/>
        <v>0</v>
      </c>
      <c r="P690" s="139">
        <f t="shared" si="92"/>
        <v>0</v>
      </c>
      <c r="Q690" s="139">
        <f t="shared" si="92"/>
        <v>0</v>
      </c>
      <c r="R690" s="139">
        <f t="shared" si="92"/>
        <v>0</v>
      </c>
      <c r="S690" s="139">
        <f t="shared" si="92"/>
        <v>0</v>
      </c>
      <c r="T690" s="139">
        <f t="shared" si="92"/>
        <v>0</v>
      </c>
      <c r="U690" s="139">
        <f t="shared" si="92"/>
        <v>0</v>
      </c>
      <c r="V690" s="139">
        <f t="shared" si="92"/>
        <v>251500</v>
      </c>
      <c r="W690" s="139">
        <f t="shared" si="92"/>
        <v>0</v>
      </c>
      <c r="X690" s="139">
        <f t="shared" si="92"/>
        <v>-251500</v>
      </c>
      <c r="Y690" s="139">
        <f t="shared" si="92"/>
        <v>0</v>
      </c>
      <c r="Z690" s="139">
        <f t="shared" si="92"/>
        <v>0</v>
      </c>
      <c r="AA690" s="407">
        <f t="shared" si="90"/>
        <v>0</v>
      </c>
      <c r="AC690" s="499"/>
      <c r="AD690" s="513"/>
      <c r="AE690" s="508"/>
      <c r="AF690" s="508"/>
      <c r="AG690" s="508"/>
      <c r="AH690" s="508"/>
    </row>
    <row r="691" spans="1:34" ht="15.75" hidden="1">
      <c r="A691" s="613"/>
      <c r="B691" s="562"/>
      <c r="C691" s="167"/>
      <c r="D691" s="196" t="s">
        <v>434</v>
      </c>
      <c r="E691" s="172"/>
      <c r="F691" s="229"/>
      <c r="G691" s="172"/>
      <c r="H691" s="420">
        <v>3110</v>
      </c>
      <c r="I691" s="169">
        <f>251500-251500</f>
        <v>0</v>
      </c>
      <c r="J691" s="169"/>
      <c r="K691" s="467"/>
      <c r="L691" s="169"/>
      <c r="M691" s="169"/>
      <c r="N691" s="439"/>
      <c r="O691" s="439"/>
      <c r="P691" s="439"/>
      <c r="Q691" s="439"/>
      <c r="R691" s="439"/>
      <c r="S691" s="439"/>
      <c r="T691" s="439"/>
      <c r="U691" s="439"/>
      <c r="V691" s="439">
        <f>251500</f>
        <v>251500</v>
      </c>
      <c r="W691" s="439"/>
      <c r="X691" s="439">
        <v>-251500</v>
      </c>
      <c r="Y691" s="439"/>
      <c r="Z691" s="439"/>
      <c r="AA691" s="407">
        <f t="shared" si="90"/>
        <v>0</v>
      </c>
      <c r="AC691" s="499"/>
      <c r="AD691" s="513"/>
      <c r="AE691" s="508"/>
      <c r="AF691" s="508"/>
      <c r="AG691" s="508"/>
      <c r="AH691" s="508"/>
    </row>
    <row r="692" spans="1:34" ht="15.75">
      <c r="A692" s="260"/>
      <c r="B692" s="227"/>
      <c r="C692" s="167"/>
      <c r="D692" s="141"/>
      <c r="E692" s="142"/>
      <c r="F692" s="143"/>
      <c r="G692" s="142"/>
      <c r="H692" s="417"/>
      <c r="I692" s="144"/>
      <c r="J692" s="144"/>
      <c r="K692" s="144"/>
      <c r="L692" s="144"/>
      <c r="M692" s="144"/>
      <c r="N692" s="407"/>
      <c r="O692" s="407"/>
      <c r="P692" s="407"/>
      <c r="Q692" s="407"/>
      <c r="R692" s="407"/>
      <c r="S692" s="407"/>
      <c r="T692" s="407"/>
      <c r="U692" s="407"/>
      <c r="V692" s="407"/>
      <c r="W692" s="407"/>
      <c r="X692" s="407"/>
      <c r="Y692" s="407"/>
      <c r="Z692" s="407"/>
      <c r="AA692" s="407">
        <f t="shared" si="90"/>
        <v>0</v>
      </c>
      <c r="AC692" s="499"/>
      <c r="AD692" s="513"/>
      <c r="AE692" s="508"/>
      <c r="AF692" s="508"/>
      <c r="AG692" s="508"/>
      <c r="AH692" s="508"/>
    </row>
    <row r="693" spans="1:34" ht="15.75" hidden="1">
      <c r="A693" s="233" t="s">
        <v>1645</v>
      </c>
      <c r="B693" s="584" t="s">
        <v>862</v>
      </c>
      <c r="C693" s="584"/>
      <c r="D693" s="584"/>
      <c r="E693" s="193"/>
      <c r="F693" s="194"/>
      <c r="G693" s="193"/>
      <c r="H693" s="425"/>
      <c r="I693" s="132" t="e">
        <f>J693+K693+L693+M693+#REF!+#REF!</f>
        <v>#REF!</v>
      </c>
      <c r="J693" s="132">
        <f>J694</f>
        <v>0</v>
      </c>
      <c r="K693" s="132">
        <f>K694</f>
        <v>0</v>
      </c>
      <c r="L693" s="132">
        <f>L694</f>
        <v>0</v>
      </c>
      <c r="M693" s="132">
        <f>M694</f>
        <v>0</v>
      </c>
      <c r="N693" s="407"/>
      <c r="O693" s="407"/>
      <c r="P693" s="407"/>
      <c r="Q693" s="407"/>
      <c r="R693" s="407"/>
      <c r="S693" s="407"/>
      <c r="T693" s="407"/>
      <c r="U693" s="407"/>
      <c r="V693" s="407"/>
      <c r="W693" s="407"/>
      <c r="X693" s="407"/>
      <c r="Y693" s="407"/>
      <c r="Z693" s="407"/>
      <c r="AA693" s="407">
        <f t="shared" si="90"/>
        <v>0</v>
      </c>
      <c r="AC693" s="499"/>
      <c r="AD693" s="513"/>
      <c r="AE693" s="508"/>
      <c r="AF693" s="508"/>
      <c r="AG693" s="508"/>
      <c r="AH693" s="508"/>
    </row>
    <row r="694" spans="1:34" ht="15.75" customHeight="1" hidden="1">
      <c r="A694" s="581" t="s">
        <v>1756</v>
      </c>
      <c r="B694" s="605" t="s">
        <v>1458</v>
      </c>
      <c r="C694" s="195"/>
      <c r="D694" s="136" t="s">
        <v>781</v>
      </c>
      <c r="E694" s="137"/>
      <c r="F694" s="159"/>
      <c r="G694" s="137"/>
      <c r="H694" s="416"/>
      <c r="I694" s="139" t="e">
        <f>J694+K694+L694+M694+#REF!+#REF!</f>
        <v>#REF!</v>
      </c>
      <c r="J694" s="139">
        <f>SUM(J695:J696)</f>
        <v>0</v>
      </c>
      <c r="K694" s="139">
        <f>SUM(K695:K696)</f>
        <v>0</v>
      </c>
      <c r="L694" s="139">
        <f>SUM(L695:L696)</f>
        <v>0</v>
      </c>
      <c r="M694" s="139">
        <f>SUM(M695:M696)</f>
        <v>0</v>
      </c>
      <c r="N694" s="407"/>
      <c r="O694" s="407"/>
      <c r="P694" s="407"/>
      <c r="Q694" s="407"/>
      <c r="R694" s="407"/>
      <c r="S694" s="407"/>
      <c r="T694" s="407"/>
      <c r="U694" s="407"/>
      <c r="V694" s="407"/>
      <c r="W694" s="407"/>
      <c r="X694" s="407"/>
      <c r="Y694" s="407"/>
      <c r="Z694" s="407"/>
      <c r="AA694" s="407">
        <f t="shared" si="90"/>
        <v>0</v>
      </c>
      <c r="AC694" s="499"/>
      <c r="AD694" s="513"/>
      <c r="AE694" s="508"/>
      <c r="AF694" s="508"/>
      <c r="AG694" s="508"/>
      <c r="AH694" s="508"/>
    </row>
    <row r="695" spans="1:34" ht="31.5" hidden="1">
      <c r="A695" s="582"/>
      <c r="B695" s="607"/>
      <c r="C695" s="135" t="s">
        <v>1197</v>
      </c>
      <c r="D695" s="141" t="s">
        <v>1198</v>
      </c>
      <c r="E695" s="142"/>
      <c r="F695" s="143"/>
      <c r="G695" s="142"/>
      <c r="H695" s="417"/>
      <c r="I695" s="144" t="e">
        <f>J695+K695+L695+M695+#REF!+#REF!</f>
        <v>#REF!</v>
      </c>
      <c r="J695" s="144"/>
      <c r="K695" s="144"/>
      <c r="L695" s="144">
        <f>42.6-42.6</f>
        <v>0</v>
      </c>
      <c r="M695" s="144"/>
      <c r="N695" s="407"/>
      <c r="O695" s="407"/>
      <c r="P695" s="407"/>
      <c r="Q695" s="407"/>
      <c r="R695" s="407"/>
      <c r="S695" s="407"/>
      <c r="T695" s="407"/>
      <c r="U695" s="407"/>
      <c r="V695" s="407"/>
      <c r="W695" s="407"/>
      <c r="X695" s="407"/>
      <c r="Y695" s="407"/>
      <c r="Z695" s="407"/>
      <c r="AA695" s="407">
        <f t="shared" si="90"/>
        <v>0</v>
      </c>
      <c r="AC695" s="499"/>
      <c r="AD695" s="513"/>
      <c r="AE695" s="508"/>
      <c r="AF695" s="508"/>
      <c r="AG695" s="508"/>
      <c r="AH695" s="508"/>
    </row>
    <row r="696" spans="1:34" ht="31.5" customHeight="1" hidden="1">
      <c r="A696" s="582"/>
      <c r="B696" s="607"/>
      <c r="C696" s="135" t="s">
        <v>782</v>
      </c>
      <c r="D696" s="141" t="s">
        <v>783</v>
      </c>
      <c r="E696" s="142"/>
      <c r="F696" s="143"/>
      <c r="G696" s="142"/>
      <c r="H696" s="417"/>
      <c r="I696" s="144" t="e">
        <f>J696+K696+L696+M696+#REF!+#REF!</f>
        <v>#REF!</v>
      </c>
      <c r="J696" s="144"/>
      <c r="K696" s="144"/>
      <c r="L696" s="144">
        <f>120-22-98</f>
        <v>0</v>
      </c>
      <c r="M696" s="144"/>
      <c r="N696" s="407"/>
      <c r="O696" s="407"/>
      <c r="P696" s="407"/>
      <c r="Q696" s="407"/>
      <c r="R696" s="407"/>
      <c r="S696" s="407"/>
      <c r="T696" s="407"/>
      <c r="U696" s="407"/>
      <c r="V696" s="407"/>
      <c r="W696" s="407"/>
      <c r="X696" s="407"/>
      <c r="Y696" s="407"/>
      <c r="Z696" s="407"/>
      <c r="AA696" s="407">
        <f t="shared" si="90"/>
        <v>0</v>
      </c>
      <c r="AC696" s="499"/>
      <c r="AD696" s="513"/>
      <c r="AE696" s="508"/>
      <c r="AF696" s="508"/>
      <c r="AG696" s="508"/>
      <c r="AH696" s="508"/>
    </row>
    <row r="697" spans="1:34" ht="15.75" hidden="1">
      <c r="A697" s="264"/>
      <c r="B697" s="141"/>
      <c r="C697" s="135"/>
      <c r="D697" s="217"/>
      <c r="E697" s="142"/>
      <c r="F697" s="143"/>
      <c r="G697" s="142"/>
      <c r="H697" s="417"/>
      <c r="I697" s="144" t="e">
        <f>J697+K697+L697+M697+#REF!+#REF!</f>
        <v>#REF!</v>
      </c>
      <c r="J697" s="144"/>
      <c r="K697" s="462"/>
      <c r="L697" s="144"/>
      <c r="M697" s="144"/>
      <c r="N697" s="407"/>
      <c r="O697" s="407"/>
      <c r="P697" s="407"/>
      <c r="Q697" s="407"/>
      <c r="R697" s="407"/>
      <c r="S697" s="407"/>
      <c r="T697" s="407"/>
      <c r="U697" s="407"/>
      <c r="V697" s="407"/>
      <c r="W697" s="407"/>
      <c r="X697" s="407"/>
      <c r="Y697" s="407"/>
      <c r="Z697" s="407"/>
      <c r="AA697" s="407">
        <f t="shared" si="90"/>
        <v>0</v>
      </c>
      <c r="AC697" s="499"/>
      <c r="AD697" s="513"/>
      <c r="AE697" s="508"/>
      <c r="AF697" s="508"/>
      <c r="AG697" s="508"/>
      <c r="AH697" s="508"/>
    </row>
    <row r="698" spans="1:34" ht="15.75">
      <c r="A698" s="233" t="s">
        <v>1646</v>
      </c>
      <c r="B698" s="584" t="s">
        <v>784</v>
      </c>
      <c r="C698" s="584"/>
      <c r="D698" s="584"/>
      <c r="E698" s="193"/>
      <c r="F698" s="194"/>
      <c r="G698" s="193"/>
      <c r="H698" s="425"/>
      <c r="I698" s="132">
        <f>I702+I720+I723+I725+I751+I754+I757+I834+I838+I836</f>
        <v>58817630.36</v>
      </c>
      <c r="J698" s="132">
        <f aca="true" t="shared" si="93" ref="J698:Z698">J702+J720+J723+J725+J751+J754+J757+J834+J838+J836</f>
        <v>0</v>
      </c>
      <c r="K698" s="132">
        <f t="shared" si="93"/>
        <v>0</v>
      </c>
      <c r="L698" s="132">
        <f t="shared" si="93"/>
        <v>60319775.06</v>
      </c>
      <c r="M698" s="132">
        <f t="shared" si="93"/>
        <v>3299288.69</v>
      </c>
      <c r="N698" s="132">
        <f t="shared" si="93"/>
        <v>0</v>
      </c>
      <c r="O698" s="132">
        <f t="shared" si="93"/>
        <v>2221791</v>
      </c>
      <c r="P698" s="132">
        <f t="shared" si="93"/>
        <v>0</v>
      </c>
      <c r="Q698" s="132">
        <f t="shared" si="93"/>
        <v>770000</v>
      </c>
      <c r="R698" s="132">
        <f t="shared" si="93"/>
        <v>11155067.02</v>
      </c>
      <c r="S698" s="132">
        <f t="shared" si="93"/>
        <v>11465683</v>
      </c>
      <c r="T698" s="132">
        <f t="shared" si="93"/>
        <v>8922885.59</v>
      </c>
      <c r="U698" s="132">
        <f t="shared" si="93"/>
        <v>7011619</v>
      </c>
      <c r="V698" s="132">
        <f t="shared" si="93"/>
        <v>5300825.81</v>
      </c>
      <c r="W698" s="132">
        <f t="shared" si="93"/>
        <v>9198455.45</v>
      </c>
      <c r="X698" s="132">
        <f t="shared" si="93"/>
        <v>1647205.49</v>
      </c>
      <c r="Y698" s="132">
        <f t="shared" si="93"/>
        <v>1124098</v>
      </c>
      <c r="Z698" s="132">
        <f t="shared" si="93"/>
        <v>18425976.48</v>
      </c>
      <c r="AA698" s="407">
        <f t="shared" si="90"/>
        <v>39267555.88</v>
      </c>
      <c r="AC698" s="499"/>
      <c r="AD698" s="513"/>
      <c r="AE698" s="508"/>
      <c r="AF698" s="508"/>
      <c r="AG698" s="508"/>
      <c r="AH698" s="508"/>
    </row>
    <row r="699" spans="1:34" ht="15.75" customHeight="1" hidden="1">
      <c r="A699" s="581" t="s">
        <v>1756</v>
      </c>
      <c r="B699" s="605" t="s">
        <v>1458</v>
      </c>
      <c r="C699" s="135"/>
      <c r="D699" s="136" t="s">
        <v>1456</v>
      </c>
      <c r="E699" s="137"/>
      <c r="F699" s="159"/>
      <c r="G699" s="137"/>
      <c r="H699" s="416"/>
      <c r="I699" s="139" t="e">
        <f>J699+K699+L699+M699+#REF!+#REF!</f>
        <v>#REF!</v>
      </c>
      <c r="J699" s="139">
        <f>J700</f>
        <v>0</v>
      </c>
      <c r="K699" s="139">
        <f>K700</f>
        <v>0</v>
      </c>
      <c r="L699" s="139">
        <f>L700</f>
        <v>0</v>
      </c>
      <c r="M699" s="139">
        <f>M700</f>
        <v>0</v>
      </c>
      <c r="N699" s="407"/>
      <c r="O699" s="407"/>
      <c r="P699" s="407"/>
      <c r="Q699" s="407"/>
      <c r="R699" s="407"/>
      <c r="S699" s="407"/>
      <c r="T699" s="407"/>
      <c r="U699" s="407"/>
      <c r="V699" s="407"/>
      <c r="W699" s="407"/>
      <c r="X699" s="407"/>
      <c r="Y699" s="407"/>
      <c r="Z699" s="407"/>
      <c r="AA699" s="407">
        <f t="shared" si="90"/>
        <v>0</v>
      </c>
      <c r="AC699" s="499"/>
      <c r="AD699" s="513"/>
      <c r="AE699" s="508"/>
      <c r="AF699" s="508"/>
      <c r="AG699" s="508"/>
      <c r="AH699" s="508"/>
    </row>
    <row r="700" spans="1:34" ht="31.5" hidden="1">
      <c r="A700" s="582"/>
      <c r="B700" s="607"/>
      <c r="C700" s="135" t="s">
        <v>1197</v>
      </c>
      <c r="D700" s="141" t="s">
        <v>1198</v>
      </c>
      <c r="E700" s="142"/>
      <c r="F700" s="143"/>
      <c r="G700" s="142"/>
      <c r="H700" s="417"/>
      <c r="I700" s="144" t="e">
        <f>J700+K700+L700+M700+#REF!+#REF!</f>
        <v>#REF!</v>
      </c>
      <c r="J700" s="144"/>
      <c r="K700" s="144"/>
      <c r="L700" s="144"/>
      <c r="M700" s="144"/>
      <c r="N700" s="407"/>
      <c r="O700" s="407"/>
      <c r="P700" s="407"/>
      <c r="Q700" s="407"/>
      <c r="R700" s="407"/>
      <c r="S700" s="407"/>
      <c r="T700" s="407"/>
      <c r="U700" s="407"/>
      <c r="V700" s="407"/>
      <c r="W700" s="407"/>
      <c r="X700" s="407"/>
      <c r="Y700" s="407"/>
      <c r="Z700" s="407"/>
      <c r="AA700" s="407">
        <f t="shared" si="90"/>
        <v>0</v>
      </c>
      <c r="AC700" s="499"/>
      <c r="AD700" s="513"/>
      <c r="AE700" s="508"/>
      <c r="AF700" s="508"/>
      <c r="AG700" s="508"/>
      <c r="AH700" s="508"/>
    </row>
    <row r="701" spans="1:34" s="30" customFormat="1" ht="15.75">
      <c r="A701" s="235">
        <v>100000</v>
      </c>
      <c r="B701" s="555" t="s">
        <v>785</v>
      </c>
      <c r="C701" s="556"/>
      <c r="D701" s="557"/>
      <c r="E701" s="172"/>
      <c r="F701" s="143"/>
      <c r="G701" s="172"/>
      <c r="H701" s="420"/>
      <c r="I701" s="169">
        <f aca="true" t="shared" si="94" ref="I701:Z701">I702+I720+I723</f>
        <v>15393012.16</v>
      </c>
      <c r="J701" s="169">
        <f t="shared" si="94"/>
        <v>0</v>
      </c>
      <c r="K701" s="169">
        <f t="shared" si="94"/>
        <v>0</v>
      </c>
      <c r="L701" s="169">
        <f t="shared" si="94"/>
        <v>14218958.16</v>
      </c>
      <c r="M701" s="169">
        <f t="shared" si="94"/>
        <v>31040</v>
      </c>
      <c r="N701" s="169">
        <f t="shared" si="94"/>
        <v>0</v>
      </c>
      <c r="O701" s="169">
        <f t="shared" si="94"/>
        <v>943284.28</v>
      </c>
      <c r="P701" s="169">
        <f t="shared" si="94"/>
        <v>0</v>
      </c>
      <c r="Q701" s="169">
        <f t="shared" si="94"/>
        <v>0</v>
      </c>
      <c r="R701" s="169">
        <f t="shared" si="94"/>
        <v>2247021</v>
      </c>
      <c r="S701" s="169">
        <f t="shared" si="94"/>
        <v>2015757</v>
      </c>
      <c r="T701" s="169">
        <f t="shared" si="94"/>
        <v>2501600</v>
      </c>
      <c r="U701" s="169">
        <f t="shared" si="94"/>
        <v>1121619</v>
      </c>
      <c r="V701" s="169">
        <f t="shared" si="94"/>
        <v>2102668.2</v>
      </c>
      <c r="W701" s="169">
        <f t="shared" si="94"/>
        <v>2115845</v>
      </c>
      <c r="X701" s="169">
        <f t="shared" si="94"/>
        <v>1615834.68</v>
      </c>
      <c r="Y701" s="169">
        <f t="shared" si="94"/>
        <v>729383</v>
      </c>
      <c r="Z701" s="169">
        <f t="shared" si="94"/>
        <v>6968991.93</v>
      </c>
      <c r="AA701" s="407">
        <f t="shared" si="90"/>
        <v>7694637.23</v>
      </c>
      <c r="AC701" s="59"/>
      <c r="AD701" s="514"/>
      <c r="AE701" s="509"/>
      <c r="AF701" s="509"/>
      <c r="AG701" s="509"/>
      <c r="AH701" s="509"/>
    </row>
    <row r="702" spans="1:62" s="54" customFormat="1" ht="16.5" customHeight="1">
      <c r="A702" s="586">
        <v>100102</v>
      </c>
      <c r="B702" s="586" t="s">
        <v>786</v>
      </c>
      <c r="C702" s="135"/>
      <c r="D702" s="216" t="s">
        <v>1456</v>
      </c>
      <c r="E702" s="137"/>
      <c r="F702" s="159"/>
      <c r="G702" s="137"/>
      <c r="H702" s="416"/>
      <c r="I702" s="139">
        <f aca="true" t="shared" si="95" ref="I702:Z702">SUM(I703:I719)</f>
        <v>13613165.48</v>
      </c>
      <c r="J702" s="139">
        <f t="shared" si="95"/>
        <v>0</v>
      </c>
      <c r="K702" s="139">
        <f t="shared" si="95"/>
        <v>0</v>
      </c>
      <c r="L702" s="139">
        <f t="shared" si="95"/>
        <v>11926111.48</v>
      </c>
      <c r="M702" s="139">
        <f t="shared" si="95"/>
        <v>31040</v>
      </c>
      <c r="N702" s="139">
        <f t="shared" si="95"/>
        <v>0</v>
      </c>
      <c r="O702" s="139">
        <f t="shared" si="95"/>
        <v>943284.28</v>
      </c>
      <c r="P702" s="139">
        <f t="shared" si="95"/>
        <v>0</v>
      </c>
      <c r="Q702" s="139">
        <f t="shared" si="95"/>
        <v>0</v>
      </c>
      <c r="R702" s="139">
        <f t="shared" si="95"/>
        <v>1567021</v>
      </c>
      <c r="S702" s="139">
        <f t="shared" si="95"/>
        <v>1715757</v>
      </c>
      <c r="T702" s="139">
        <f t="shared" si="95"/>
        <v>1988600</v>
      </c>
      <c r="U702" s="139">
        <f t="shared" si="95"/>
        <v>1434619</v>
      </c>
      <c r="V702" s="139">
        <f t="shared" si="95"/>
        <v>1902668.2</v>
      </c>
      <c r="W702" s="139">
        <f t="shared" si="95"/>
        <v>1915845</v>
      </c>
      <c r="X702" s="139">
        <f t="shared" si="95"/>
        <v>1415988</v>
      </c>
      <c r="Y702" s="139">
        <f t="shared" si="95"/>
        <v>729383</v>
      </c>
      <c r="Z702" s="139">
        <f t="shared" si="95"/>
        <v>6145103.94</v>
      </c>
      <c r="AA702" s="407">
        <f t="shared" si="90"/>
        <v>6738678.54</v>
      </c>
      <c r="AB702" s="45"/>
      <c r="AC702" s="499"/>
      <c r="AD702" s="513"/>
      <c r="AE702" s="508"/>
      <c r="AF702" s="508"/>
      <c r="AG702" s="508"/>
      <c r="AH702" s="508"/>
      <c r="AI702" s="45"/>
      <c r="AJ702" s="45"/>
      <c r="AK702" s="45"/>
      <c r="AL702" s="45"/>
      <c r="AM702" s="45"/>
      <c r="AN702" s="45"/>
      <c r="AO702" s="45"/>
      <c r="AP702" s="45"/>
      <c r="AQ702" s="45"/>
      <c r="AR702" s="45"/>
      <c r="AS702" s="45"/>
      <c r="AT702" s="45"/>
      <c r="AU702" s="45"/>
      <c r="AV702" s="45"/>
      <c r="AW702" s="45"/>
      <c r="AX702" s="45"/>
      <c r="AY702" s="45"/>
      <c r="AZ702" s="45"/>
      <c r="BA702" s="45"/>
      <c r="BB702" s="45"/>
      <c r="BC702" s="45"/>
      <c r="BD702" s="45"/>
      <c r="BE702" s="45"/>
      <c r="BF702" s="45"/>
      <c r="BG702" s="45"/>
      <c r="BH702" s="45"/>
      <c r="BI702" s="45"/>
      <c r="BJ702" s="45"/>
    </row>
    <row r="703" spans="1:34" s="45" customFormat="1" ht="47.25">
      <c r="A703" s="586"/>
      <c r="B703" s="586"/>
      <c r="C703" s="135" t="s">
        <v>789</v>
      </c>
      <c r="D703" s="217" t="s">
        <v>790</v>
      </c>
      <c r="E703" s="142">
        <v>6394.35668</v>
      </c>
      <c r="F703" s="143">
        <f>100%-((E703-G703)/E703)</f>
        <v>1</v>
      </c>
      <c r="G703" s="142">
        <v>6394.35668</v>
      </c>
      <c r="H703" s="417">
        <v>3131</v>
      </c>
      <c r="I703" s="144">
        <v>943284.28</v>
      </c>
      <c r="J703" s="144"/>
      <c r="K703" s="144"/>
      <c r="L703" s="144">
        <v>943284.28</v>
      </c>
      <c r="M703" s="144"/>
      <c r="N703" s="407"/>
      <c r="O703" s="144">
        <v>943284.28</v>
      </c>
      <c r="P703" s="407"/>
      <c r="Q703" s="407"/>
      <c r="R703" s="407"/>
      <c r="S703" s="407"/>
      <c r="T703" s="407"/>
      <c r="U703" s="407"/>
      <c r="V703" s="407"/>
      <c r="W703" s="407"/>
      <c r="X703" s="407"/>
      <c r="Y703" s="407"/>
      <c r="Z703" s="144">
        <f>943284.28-549979.68</f>
        <v>393304.6</v>
      </c>
      <c r="AA703" s="407">
        <f t="shared" si="90"/>
        <v>549979.68</v>
      </c>
      <c r="AC703" s="499"/>
      <c r="AD703" s="512">
        <v>943284.28</v>
      </c>
      <c r="AE703" s="646" t="s">
        <v>1001</v>
      </c>
      <c r="AF703" s="647"/>
      <c r="AG703" s="647"/>
      <c r="AH703" s="648"/>
    </row>
    <row r="704" spans="1:34" s="45" customFormat="1" ht="38.25">
      <c r="A704" s="586"/>
      <c r="B704" s="586"/>
      <c r="C704" s="135"/>
      <c r="D704" s="217" t="s">
        <v>1238</v>
      </c>
      <c r="E704" s="142"/>
      <c r="F704" s="143"/>
      <c r="G704" s="142"/>
      <c r="H704" s="417">
        <v>3131</v>
      </c>
      <c r="I704" s="144">
        <f>300000-30000</f>
        <v>270000</v>
      </c>
      <c r="J704" s="144"/>
      <c r="K704" s="144"/>
      <c r="L704" s="144"/>
      <c r="M704" s="144"/>
      <c r="N704" s="407"/>
      <c r="O704" s="144"/>
      <c r="P704" s="407"/>
      <c r="Q704" s="407"/>
      <c r="R704" s="407"/>
      <c r="S704" s="407"/>
      <c r="T704" s="407"/>
      <c r="U704" s="407">
        <v>30000</v>
      </c>
      <c r="V704" s="407">
        <v>90000</v>
      </c>
      <c r="W704" s="407">
        <v>90000</v>
      </c>
      <c r="X704" s="407">
        <f>90000-30000</f>
        <v>60000</v>
      </c>
      <c r="Y704" s="407"/>
      <c r="Z704" s="144">
        <v>1076.4</v>
      </c>
      <c r="AA704" s="407">
        <f t="shared" si="90"/>
        <v>268923.6</v>
      </c>
      <c r="AC704" s="499"/>
      <c r="AD704" s="512">
        <v>300000</v>
      </c>
      <c r="AE704" s="512"/>
      <c r="AF704" s="507"/>
      <c r="AG704" s="507" t="s">
        <v>1004</v>
      </c>
      <c r="AH704" s="507" t="s">
        <v>1005</v>
      </c>
    </row>
    <row r="705" spans="1:34" s="45" customFormat="1" ht="31.5">
      <c r="A705" s="586"/>
      <c r="B705" s="586"/>
      <c r="C705" s="135"/>
      <c r="D705" s="217" t="s">
        <v>2119</v>
      </c>
      <c r="E705" s="142"/>
      <c r="F705" s="143"/>
      <c r="G705" s="142"/>
      <c r="H705" s="417">
        <v>3131</v>
      </c>
      <c r="I705" s="144">
        <v>30000</v>
      </c>
      <c r="J705" s="144"/>
      <c r="K705" s="144"/>
      <c r="L705" s="144"/>
      <c r="M705" s="144"/>
      <c r="N705" s="407"/>
      <c r="O705" s="144"/>
      <c r="P705" s="407"/>
      <c r="Q705" s="407"/>
      <c r="R705" s="407"/>
      <c r="S705" s="407"/>
      <c r="T705" s="407"/>
      <c r="U705" s="407"/>
      <c r="V705" s="407"/>
      <c r="W705" s="407"/>
      <c r="X705" s="407">
        <v>30000</v>
      </c>
      <c r="Y705" s="407"/>
      <c r="Z705" s="144"/>
      <c r="AA705" s="407">
        <f t="shared" si="90"/>
        <v>30000</v>
      </c>
      <c r="AC705" s="499"/>
      <c r="AD705" s="512"/>
      <c r="AE705" s="512"/>
      <c r="AF705" s="543"/>
      <c r="AG705" s="533"/>
      <c r="AH705" s="534"/>
    </row>
    <row r="706" spans="1:34" s="45" customFormat="1" ht="47.25">
      <c r="A706" s="586"/>
      <c r="B706" s="586"/>
      <c r="C706" s="135"/>
      <c r="D706" s="217" t="s">
        <v>1791</v>
      </c>
      <c r="E706" s="142"/>
      <c r="F706" s="143"/>
      <c r="G706" s="142"/>
      <c r="H706" s="417">
        <v>3131</v>
      </c>
      <c r="I706" s="144">
        <f>1426000-367000</f>
        <v>1059000</v>
      </c>
      <c r="J706" s="144"/>
      <c r="K706" s="144"/>
      <c r="L706" s="144"/>
      <c r="M706" s="144"/>
      <c r="N706" s="407"/>
      <c r="O706" s="144"/>
      <c r="P706" s="407"/>
      <c r="Q706" s="407"/>
      <c r="R706" s="407"/>
      <c r="S706" s="407"/>
      <c r="T706" s="407"/>
      <c r="U706" s="407"/>
      <c r="V706" s="407">
        <v>356500</v>
      </c>
      <c r="W706" s="407">
        <v>356500</v>
      </c>
      <c r="X706" s="407">
        <f>356500-367000</f>
        <v>-10500</v>
      </c>
      <c r="Y706" s="407">
        <v>356500</v>
      </c>
      <c r="Z706" s="144">
        <f>1188+792+17820+89600.4+1415+100122+68418+396+181709.71+59281.2+1422.58+2513.62+61796.4</f>
        <v>586474.91</v>
      </c>
      <c r="AA706" s="407">
        <f t="shared" si="90"/>
        <v>116025.09</v>
      </c>
      <c r="AC706" s="499"/>
      <c r="AD706" s="512">
        <v>1426000</v>
      </c>
      <c r="AE706" s="507"/>
      <c r="AF706" s="646" t="s">
        <v>1006</v>
      </c>
      <c r="AG706" s="647"/>
      <c r="AH706" s="648"/>
    </row>
    <row r="707" spans="1:34" s="362" customFormat="1" ht="54" customHeight="1">
      <c r="A707" s="586"/>
      <c r="B707" s="586"/>
      <c r="C707" s="135"/>
      <c r="D707" s="1" t="s">
        <v>1845</v>
      </c>
      <c r="E707" s="142"/>
      <c r="F707" s="143"/>
      <c r="G707" s="142"/>
      <c r="H707" s="417">
        <v>3131</v>
      </c>
      <c r="I707" s="144">
        <f>694000+1284300+767000</f>
        <v>2745300</v>
      </c>
      <c r="J707" s="144"/>
      <c r="K707" s="144"/>
      <c r="L707" s="49">
        <v>694000</v>
      </c>
      <c r="M707" s="144"/>
      <c r="N707" s="407"/>
      <c r="O707" s="407"/>
      <c r="P707" s="407"/>
      <c r="Q707" s="407"/>
      <c r="R707" s="407">
        <v>50000</v>
      </c>
      <c r="S707" s="407">
        <v>215000</v>
      </c>
      <c r="T707" s="407">
        <v>215000</v>
      </c>
      <c r="U707" s="407">
        <v>214000</v>
      </c>
      <c r="V707" s="407">
        <v>841575</v>
      </c>
      <c r="W707" s="407">
        <v>147575</v>
      </c>
      <c r="X707" s="407">
        <f>147575+767000</f>
        <v>914575</v>
      </c>
      <c r="Y707" s="407">
        <v>147575</v>
      </c>
      <c r="Z707" s="407">
        <f>40247.93+681086.4+74563.2+74968.8+66079.49+852+2306.18+277312.8+4614</f>
        <v>1222030.8</v>
      </c>
      <c r="AA707" s="407">
        <f t="shared" si="90"/>
        <v>1375694.2</v>
      </c>
      <c r="AC707" s="501"/>
      <c r="AD707" s="512">
        <v>1978300</v>
      </c>
      <c r="AE707" s="512">
        <v>1978300</v>
      </c>
      <c r="AF707" s="507"/>
      <c r="AG707" s="507" t="s">
        <v>1002</v>
      </c>
      <c r="AH707" s="507" t="s">
        <v>1003</v>
      </c>
    </row>
    <row r="708" spans="1:34" s="362" customFormat="1" ht="63.75">
      <c r="A708" s="586"/>
      <c r="B708" s="586"/>
      <c r="C708" s="135" t="s">
        <v>576</v>
      </c>
      <c r="D708" s="1" t="s">
        <v>1790</v>
      </c>
      <c r="E708" s="142">
        <v>2340</v>
      </c>
      <c r="F708" s="143">
        <f>100%-((E708-G708)/E708)</f>
        <v>1</v>
      </c>
      <c r="G708" s="142">
        <v>2340</v>
      </c>
      <c r="H708" s="417">
        <v>3131</v>
      </c>
      <c r="I708" s="144">
        <f>9107490-1784286-143536-50604.8</f>
        <v>7129063.2</v>
      </c>
      <c r="J708" s="144"/>
      <c r="K708" s="144"/>
      <c r="L708" s="49">
        <v>9107490</v>
      </c>
      <c r="M708" s="144"/>
      <c r="N708" s="407"/>
      <c r="O708" s="407"/>
      <c r="P708" s="407"/>
      <c r="Q708" s="407"/>
      <c r="R708" s="407">
        <v>1453201</v>
      </c>
      <c r="S708" s="407">
        <v>1106757</v>
      </c>
      <c r="T708" s="407">
        <v>1454600</v>
      </c>
      <c r="U708" s="407">
        <f>1420819-500000</f>
        <v>920819</v>
      </c>
      <c r="V708" s="407">
        <f>1428836-500000-600000</f>
        <v>328836</v>
      </c>
      <c r="W708" s="407">
        <f>1311770+1000000-900000-143536</f>
        <v>1268234</v>
      </c>
      <c r="X708" s="407">
        <f>656199-234286-50604.8</f>
        <v>371308.2</v>
      </c>
      <c r="Y708" s="407">
        <f>275308-50000</f>
        <v>225308</v>
      </c>
      <c r="Z708" s="407">
        <f>11127.6+263193.14+5370.58+39739.87+209268.63+9494.4+74766+373+24075+175466.01+5197+7232.4+389567.07+352003.33+56143.5+70976.16+7571.34+4954.58+48101.23+8895.8+31997.87+762+47274.84+36030.12+68462.61+230452.07+34806+198077.78+231361.26+7390.66+134+165124.11+649.2+317688.15+146235.39+1345.24+143106</f>
        <v>3424413.94</v>
      </c>
      <c r="AA708" s="407">
        <f t="shared" si="90"/>
        <v>3479341.26</v>
      </c>
      <c r="AC708" s="501"/>
      <c r="AD708" s="512">
        <v>7323204</v>
      </c>
      <c r="AE708" s="512">
        <v>7323204</v>
      </c>
      <c r="AF708" s="507" t="s">
        <v>1007</v>
      </c>
      <c r="AG708" s="507" t="s">
        <v>1008</v>
      </c>
      <c r="AH708" s="507"/>
    </row>
    <row r="709" spans="1:34" s="362" customFormat="1" ht="31.5" hidden="1">
      <c r="A709" s="586"/>
      <c r="B709" s="586"/>
      <c r="C709" s="135"/>
      <c r="D709" s="1" t="s">
        <v>1522</v>
      </c>
      <c r="E709" s="142"/>
      <c r="F709" s="143"/>
      <c r="G709" s="142"/>
      <c r="H709" s="417">
        <v>3131</v>
      </c>
      <c r="I709" s="144">
        <f>90000-90000</f>
        <v>0</v>
      </c>
      <c r="J709" s="144"/>
      <c r="K709" s="144"/>
      <c r="L709" s="49"/>
      <c r="M709" s="144"/>
      <c r="N709" s="407"/>
      <c r="O709" s="407"/>
      <c r="P709" s="407"/>
      <c r="Q709" s="407"/>
      <c r="R709" s="407"/>
      <c r="S709" s="407"/>
      <c r="T709" s="407"/>
      <c r="U709" s="407"/>
      <c r="V709" s="407"/>
      <c r="W709" s="407">
        <f>90000-90000</f>
        <v>0</v>
      </c>
      <c r="X709" s="407"/>
      <c r="Y709" s="407"/>
      <c r="Z709" s="407"/>
      <c r="AA709" s="407">
        <f t="shared" si="90"/>
        <v>0</v>
      </c>
      <c r="AC709" s="501"/>
      <c r="AD709" s="512"/>
      <c r="AE709" s="535"/>
      <c r="AF709" s="533"/>
      <c r="AG709" s="534"/>
      <c r="AH709" s="507"/>
    </row>
    <row r="710" spans="1:34" s="362" customFormat="1" ht="31.5">
      <c r="A710" s="586"/>
      <c r="B710" s="586"/>
      <c r="C710" s="135" t="s">
        <v>578</v>
      </c>
      <c r="D710" s="1" t="s">
        <v>580</v>
      </c>
      <c r="E710" s="142"/>
      <c r="F710" s="143"/>
      <c r="G710" s="142"/>
      <c r="H710" s="417">
        <v>3131</v>
      </c>
      <c r="I710" s="144">
        <v>250000</v>
      </c>
      <c r="J710" s="144"/>
      <c r="K710" s="144"/>
      <c r="L710" s="49">
        <v>250000</v>
      </c>
      <c r="M710" s="144"/>
      <c r="N710" s="407"/>
      <c r="O710" s="407"/>
      <c r="P710" s="407"/>
      <c r="Q710" s="407"/>
      <c r="R710" s="407">
        <v>20000</v>
      </c>
      <c r="S710" s="407"/>
      <c r="T710" s="407">
        <v>77000</v>
      </c>
      <c r="U710" s="407">
        <v>77000</v>
      </c>
      <c r="V710" s="407">
        <v>76000</v>
      </c>
      <c r="W710" s="407"/>
      <c r="X710" s="407"/>
      <c r="Y710" s="407"/>
      <c r="Z710" s="407"/>
      <c r="AA710" s="407">
        <f t="shared" si="90"/>
        <v>250000</v>
      </c>
      <c r="AC710" s="501"/>
      <c r="AD710" s="512">
        <v>250000</v>
      </c>
      <c r="AE710" s="646" t="s">
        <v>1009</v>
      </c>
      <c r="AF710" s="647"/>
      <c r="AG710" s="648"/>
      <c r="AH710" s="507"/>
    </row>
    <row r="711" spans="1:34" s="362" customFormat="1" ht="31.5" hidden="1">
      <c r="A711" s="586"/>
      <c r="B711" s="586"/>
      <c r="C711" s="135" t="s">
        <v>652</v>
      </c>
      <c r="D711" s="1" t="s">
        <v>581</v>
      </c>
      <c r="E711" s="142"/>
      <c r="F711" s="143"/>
      <c r="G711" s="142"/>
      <c r="H711" s="417">
        <v>3131</v>
      </c>
      <c r="I711" s="144">
        <f>100000-100000</f>
        <v>0</v>
      </c>
      <c r="J711" s="144"/>
      <c r="K711" s="144"/>
      <c r="L711" s="49">
        <v>100000</v>
      </c>
      <c r="M711" s="144"/>
      <c r="N711" s="407"/>
      <c r="O711" s="407"/>
      <c r="P711" s="407"/>
      <c r="Q711" s="407"/>
      <c r="R711" s="407"/>
      <c r="S711" s="407">
        <v>10000</v>
      </c>
      <c r="T711" s="407"/>
      <c r="U711" s="407">
        <v>45000</v>
      </c>
      <c r="V711" s="407">
        <v>45000</v>
      </c>
      <c r="W711" s="407">
        <v>-100000</v>
      </c>
      <c r="X711" s="407"/>
      <c r="Y711" s="407"/>
      <c r="Z711" s="407"/>
      <c r="AA711" s="407">
        <f t="shared" si="90"/>
        <v>0</v>
      </c>
      <c r="AC711" s="501"/>
      <c r="AD711" s="512">
        <v>100000</v>
      </c>
      <c r="AE711" s="507"/>
      <c r="AF711" s="507"/>
      <c r="AG711" s="507" t="s">
        <v>1004</v>
      </c>
      <c r="AH711" s="507"/>
    </row>
    <row r="712" spans="1:34" s="362" customFormat="1" ht="31.5">
      <c r="A712" s="586"/>
      <c r="B712" s="586"/>
      <c r="C712" s="135" t="s">
        <v>796</v>
      </c>
      <c r="D712" s="1" t="s">
        <v>582</v>
      </c>
      <c r="E712" s="142"/>
      <c r="F712" s="143"/>
      <c r="G712" s="142"/>
      <c r="H712" s="417">
        <v>3131</v>
      </c>
      <c r="I712" s="144">
        <v>99900</v>
      </c>
      <c r="J712" s="144"/>
      <c r="K712" s="144"/>
      <c r="L712" s="49">
        <v>99900</v>
      </c>
      <c r="M712" s="144"/>
      <c r="N712" s="407"/>
      <c r="O712" s="407"/>
      <c r="P712" s="407"/>
      <c r="Q712" s="407"/>
      <c r="R712" s="407"/>
      <c r="S712" s="407"/>
      <c r="T712" s="407"/>
      <c r="U712" s="407"/>
      <c r="V712" s="407">
        <v>99900</v>
      </c>
      <c r="W712" s="407"/>
      <c r="X712" s="407"/>
      <c r="Y712" s="407"/>
      <c r="Z712" s="407"/>
      <c r="AA712" s="407">
        <f t="shared" si="90"/>
        <v>99900</v>
      </c>
      <c r="AC712" s="501"/>
      <c r="AD712" s="512">
        <v>99900</v>
      </c>
      <c r="AE712" s="646" t="s">
        <v>1009</v>
      </c>
      <c r="AF712" s="647"/>
      <c r="AG712" s="648"/>
      <c r="AH712" s="507"/>
    </row>
    <row r="713" spans="1:34" s="362" customFormat="1" ht="38.25">
      <c r="A713" s="586"/>
      <c r="B713" s="586"/>
      <c r="C713" s="135"/>
      <c r="D713" s="1" t="s">
        <v>1846</v>
      </c>
      <c r="E713" s="142"/>
      <c r="F713" s="143"/>
      <c r="G713" s="142"/>
      <c r="H713" s="417">
        <v>3131</v>
      </c>
      <c r="I713" s="144">
        <v>20000</v>
      </c>
      <c r="J713" s="144"/>
      <c r="K713" s="144"/>
      <c r="L713" s="49">
        <v>20000</v>
      </c>
      <c r="M713" s="144"/>
      <c r="N713" s="407"/>
      <c r="O713" s="407"/>
      <c r="P713" s="407"/>
      <c r="Q713" s="407"/>
      <c r="R713" s="407">
        <v>2000</v>
      </c>
      <c r="S713" s="407">
        <v>18000</v>
      </c>
      <c r="T713" s="407"/>
      <c r="U713" s="407"/>
      <c r="V713" s="407"/>
      <c r="W713" s="407"/>
      <c r="X713" s="407"/>
      <c r="Y713" s="407"/>
      <c r="Z713" s="407">
        <f>396+18298.8</f>
        <v>18694.8</v>
      </c>
      <c r="AA713" s="407">
        <f t="shared" si="90"/>
        <v>1305.2</v>
      </c>
      <c r="AC713" s="501"/>
      <c r="AD713" s="512">
        <v>20000</v>
      </c>
      <c r="AE713" s="507">
        <v>21289</v>
      </c>
      <c r="AF713" s="507"/>
      <c r="AG713" s="507" t="s">
        <v>1002</v>
      </c>
      <c r="AH713" s="507" t="s">
        <v>1005</v>
      </c>
    </row>
    <row r="714" spans="1:34" s="362" customFormat="1" ht="48" customHeight="1">
      <c r="A714" s="586"/>
      <c r="B714" s="586"/>
      <c r="C714" s="135"/>
      <c r="D714" s="1" t="s">
        <v>1847</v>
      </c>
      <c r="E714" s="142"/>
      <c r="F714" s="143"/>
      <c r="G714" s="142"/>
      <c r="H714" s="417">
        <v>3131</v>
      </c>
      <c r="I714" s="144">
        <v>99000</v>
      </c>
      <c r="J714" s="144"/>
      <c r="K714" s="144"/>
      <c r="L714" s="49">
        <v>99000</v>
      </c>
      <c r="M714" s="144"/>
      <c r="N714" s="407"/>
      <c r="O714" s="407"/>
      <c r="P714" s="407"/>
      <c r="Q714" s="407"/>
      <c r="R714" s="407">
        <v>10000</v>
      </c>
      <c r="S714" s="407">
        <v>40000</v>
      </c>
      <c r="T714" s="407">
        <v>49000</v>
      </c>
      <c r="U714" s="407"/>
      <c r="V714" s="407"/>
      <c r="W714" s="407"/>
      <c r="X714" s="407"/>
      <c r="Y714" s="407"/>
      <c r="Z714" s="407">
        <v>913.2</v>
      </c>
      <c r="AA714" s="407">
        <f t="shared" si="90"/>
        <v>98086.8</v>
      </c>
      <c r="AC714" s="501"/>
      <c r="AD714" s="512">
        <v>99000</v>
      </c>
      <c r="AE714" s="507">
        <v>99780</v>
      </c>
      <c r="AF714" s="507"/>
      <c r="AG714" s="507" t="s">
        <v>1002</v>
      </c>
      <c r="AH714" s="507" t="s">
        <v>1005</v>
      </c>
    </row>
    <row r="715" spans="1:34" s="362" customFormat="1" ht="58.5" customHeight="1">
      <c r="A715" s="586"/>
      <c r="B715" s="586"/>
      <c r="C715" s="135"/>
      <c r="D715" s="1" t="s">
        <v>145</v>
      </c>
      <c r="E715" s="142"/>
      <c r="F715" s="143"/>
      <c r="G715" s="142"/>
      <c r="H715" s="417">
        <v>3131</v>
      </c>
      <c r="I715" s="144">
        <f>336677.2+40122.8</f>
        <v>376800</v>
      </c>
      <c r="J715" s="144"/>
      <c r="K715" s="144"/>
      <c r="L715" s="49">
        <v>336677.2</v>
      </c>
      <c r="M715" s="144"/>
      <c r="N715" s="407"/>
      <c r="O715" s="407"/>
      <c r="P715" s="407"/>
      <c r="Q715" s="407"/>
      <c r="R715" s="407">
        <v>6820</v>
      </c>
      <c r="S715" s="407">
        <v>100000</v>
      </c>
      <c r="T715" s="407">
        <v>100000</v>
      </c>
      <c r="U715" s="407">
        <v>100000</v>
      </c>
      <c r="V715" s="407">
        <v>29857.2</v>
      </c>
      <c r="W715" s="407"/>
      <c r="X715" s="407">
        <v>40122.8</v>
      </c>
      <c r="Y715" s="407"/>
      <c r="Z715" s="407">
        <f>1540.93+4915.51+179782.8</f>
        <v>186239.24</v>
      </c>
      <c r="AA715" s="407">
        <f t="shared" si="90"/>
        <v>190560.76</v>
      </c>
      <c r="AC715" s="501"/>
      <c r="AD715" s="512">
        <v>336677.2</v>
      </c>
      <c r="AE715" s="507">
        <v>337600</v>
      </c>
      <c r="AF715" s="507" t="s">
        <v>1010</v>
      </c>
      <c r="AG715" s="507" t="s">
        <v>1011</v>
      </c>
      <c r="AH715" s="507" t="s">
        <v>1005</v>
      </c>
    </row>
    <row r="716" spans="1:34" s="362" customFormat="1" ht="38.25">
      <c r="A716" s="586"/>
      <c r="B716" s="586"/>
      <c r="C716" s="135"/>
      <c r="D716" s="1" t="s">
        <v>516</v>
      </c>
      <c r="E716" s="142"/>
      <c r="F716" s="143"/>
      <c r="G716" s="142"/>
      <c r="H716" s="417">
        <v>3131</v>
      </c>
      <c r="I716" s="144">
        <f>50000+10482</f>
        <v>60482</v>
      </c>
      <c r="J716" s="144"/>
      <c r="K716" s="144"/>
      <c r="L716" s="49">
        <v>18960</v>
      </c>
      <c r="M716" s="144">
        <v>31040</v>
      </c>
      <c r="N716" s="407"/>
      <c r="O716" s="407"/>
      <c r="P716" s="407"/>
      <c r="Q716" s="407"/>
      <c r="R716" s="407"/>
      <c r="S716" s="407"/>
      <c r="T716" s="407"/>
      <c r="U716" s="407">
        <v>5000</v>
      </c>
      <c r="V716" s="407">
        <v>35000</v>
      </c>
      <c r="W716" s="407">
        <v>10000</v>
      </c>
      <c r="X716" s="407">
        <v>10482</v>
      </c>
      <c r="Y716" s="407"/>
      <c r="Z716" s="407">
        <v>607.2</v>
      </c>
      <c r="AA716" s="407">
        <f t="shared" si="90"/>
        <v>59874.8</v>
      </c>
      <c r="AC716" s="501"/>
      <c r="AD716" s="512">
        <v>50000</v>
      </c>
      <c r="AE716" s="507">
        <v>63349</v>
      </c>
      <c r="AF716" s="507"/>
      <c r="AG716" s="507" t="s">
        <v>1002</v>
      </c>
      <c r="AH716" s="507" t="s">
        <v>1005</v>
      </c>
    </row>
    <row r="717" spans="1:34" s="362" customFormat="1" ht="38.25">
      <c r="A717" s="586"/>
      <c r="B717" s="586"/>
      <c r="C717" s="135"/>
      <c r="D717" s="1" t="s">
        <v>1849</v>
      </c>
      <c r="E717" s="142"/>
      <c r="F717" s="143"/>
      <c r="G717" s="142"/>
      <c r="H717" s="417">
        <v>3131</v>
      </c>
      <c r="I717" s="144">
        <f>114000+103648</f>
        <v>217648</v>
      </c>
      <c r="J717" s="144"/>
      <c r="K717" s="144"/>
      <c r="L717" s="49">
        <v>114000</v>
      </c>
      <c r="M717" s="144"/>
      <c r="N717" s="407"/>
      <c r="O717" s="407"/>
      <c r="P717" s="407"/>
      <c r="Q717" s="407"/>
      <c r="R717" s="407">
        <v>11000</v>
      </c>
      <c r="S717" s="407">
        <v>53000</v>
      </c>
      <c r="T717" s="407">
        <v>50000</v>
      </c>
      <c r="U717" s="407"/>
      <c r="V717" s="407"/>
      <c r="W717" s="407">
        <v>103648</v>
      </c>
      <c r="X717" s="407"/>
      <c r="Y717" s="407"/>
      <c r="Z717" s="407">
        <v>1320</v>
      </c>
      <c r="AA717" s="407">
        <f t="shared" si="90"/>
        <v>216328</v>
      </c>
      <c r="AC717" s="501"/>
      <c r="AD717" s="512">
        <v>114000</v>
      </c>
      <c r="AE717" s="507">
        <v>217648</v>
      </c>
      <c r="AF717" s="507"/>
      <c r="AG717" s="507" t="s">
        <v>1012</v>
      </c>
      <c r="AH717" s="507" t="s">
        <v>1005</v>
      </c>
    </row>
    <row r="718" spans="1:34" s="362" customFormat="1" ht="31.5">
      <c r="A718" s="586"/>
      <c r="B718" s="586"/>
      <c r="C718" s="135"/>
      <c r="D718" s="1" t="s">
        <v>1848</v>
      </c>
      <c r="E718" s="142"/>
      <c r="F718" s="143"/>
      <c r="G718" s="142"/>
      <c r="H718" s="417">
        <v>3131</v>
      </c>
      <c r="I718" s="144">
        <v>130000</v>
      </c>
      <c r="J718" s="144"/>
      <c r="K718" s="144"/>
      <c r="L718" s="49"/>
      <c r="M718" s="144"/>
      <c r="N718" s="407"/>
      <c r="O718" s="407"/>
      <c r="P718" s="407"/>
      <c r="Q718" s="407"/>
      <c r="R718" s="407"/>
      <c r="S718" s="407">
        <v>130000</v>
      </c>
      <c r="T718" s="407"/>
      <c r="U718" s="407"/>
      <c r="V718" s="407"/>
      <c r="W718" s="407"/>
      <c r="X718" s="407"/>
      <c r="Y718" s="407"/>
      <c r="Z718" s="407">
        <f>1320+125637.6+1008.97</f>
        <v>127966.57</v>
      </c>
      <c r="AA718" s="407">
        <f t="shared" si="90"/>
        <v>2033.43</v>
      </c>
      <c r="AC718" s="501"/>
      <c r="AD718" s="512">
        <v>130000</v>
      </c>
      <c r="AE718" s="507">
        <v>127967</v>
      </c>
      <c r="AF718" s="507" t="s">
        <v>1014</v>
      </c>
      <c r="AG718" s="525" t="s">
        <v>1015</v>
      </c>
      <c r="AH718" s="507" t="s">
        <v>1016</v>
      </c>
    </row>
    <row r="719" spans="1:34" s="362" customFormat="1" ht="38.25">
      <c r="A719" s="586"/>
      <c r="B719" s="586"/>
      <c r="C719" s="135"/>
      <c r="D719" s="1" t="s">
        <v>1357</v>
      </c>
      <c r="E719" s="142"/>
      <c r="F719" s="143"/>
      <c r="G719" s="142"/>
      <c r="H719" s="417">
        <v>3131</v>
      </c>
      <c r="I719" s="144">
        <f>142800+39888</f>
        <v>182688</v>
      </c>
      <c r="J719" s="144"/>
      <c r="K719" s="144"/>
      <c r="L719" s="49">
        <v>142800</v>
      </c>
      <c r="M719" s="144"/>
      <c r="N719" s="407"/>
      <c r="O719" s="407"/>
      <c r="P719" s="407"/>
      <c r="Q719" s="407"/>
      <c r="R719" s="407">
        <v>14000</v>
      </c>
      <c r="S719" s="407">
        <v>43000</v>
      </c>
      <c r="T719" s="407">
        <v>43000</v>
      </c>
      <c r="U719" s="407">
        <v>42800</v>
      </c>
      <c r="V719" s="407"/>
      <c r="W719" s="407">
        <v>39888</v>
      </c>
      <c r="X719" s="407"/>
      <c r="Y719" s="407"/>
      <c r="Z719" s="407">
        <f>1320+180742.28</f>
        <v>182062.28</v>
      </c>
      <c r="AA719" s="407">
        <f t="shared" si="90"/>
        <v>625.72</v>
      </c>
      <c r="AC719" s="501"/>
      <c r="AD719" s="512">
        <v>142800</v>
      </c>
      <c r="AE719" s="507">
        <v>182688</v>
      </c>
      <c r="AF719" s="507"/>
      <c r="AG719" s="507" t="s">
        <v>1013</v>
      </c>
      <c r="AH719" s="507" t="s">
        <v>1005</v>
      </c>
    </row>
    <row r="720" spans="1:62" s="54" customFormat="1" ht="15.75" customHeight="1">
      <c r="A720" s="586">
        <v>100106</v>
      </c>
      <c r="B720" s="586" t="s">
        <v>38</v>
      </c>
      <c r="C720" s="195"/>
      <c r="D720" s="216" t="s">
        <v>1456</v>
      </c>
      <c r="E720" s="137"/>
      <c r="F720" s="159"/>
      <c r="G720" s="137"/>
      <c r="H720" s="416"/>
      <c r="I720" s="139">
        <f>SUM(I721:I722)</f>
        <v>1759846.68</v>
      </c>
      <c r="J720" s="139">
        <f>SUM(J721:J722)</f>
        <v>0</v>
      </c>
      <c r="K720" s="139">
        <f>SUM(K721:K722)</f>
        <v>0</v>
      </c>
      <c r="L720" s="139">
        <f>SUM(L721:L722)</f>
        <v>2272846.68</v>
      </c>
      <c r="M720" s="139">
        <f>SUM(M721:M722)</f>
        <v>0</v>
      </c>
      <c r="N720" s="139">
        <f aca="true" t="shared" si="96" ref="N720:Z720">SUM(N721:N722)</f>
        <v>0</v>
      </c>
      <c r="O720" s="139">
        <f t="shared" si="96"/>
        <v>0</v>
      </c>
      <c r="P720" s="139">
        <f t="shared" si="96"/>
        <v>0</v>
      </c>
      <c r="Q720" s="139">
        <f t="shared" si="96"/>
        <v>0</v>
      </c>
      <c r="R720" s="139">
        <f t="shared" si="96"/>
        <v>660000</v>
      </c>
      <c r="S720" s="139">
        <f t="shared" si="96"/>
        <v>300000</v>
      </c>
      <c r="T720" s="139">
        <f t="shared" si="96"/>
        <v>513000</v>
      </c>
      <c r="U720" s="139">
        <f t="shared" si="96"/>
        <v>-313000</v>
      </c>
      <c r="V720" s="139">
        <f t="shared" si="96"/>
        <v>200000</v>
      </c>
      <c r="W720" s="139">
        <f t="shared" si="96"/>
        <v>200000</v>
      </c>
      <c r="X720" s="139">
        <f t="shared" si="96"/>
        <v>199846.68</v>
      </c>
      <c r="Y720" s="139">
        <f t="shared" si="96"/>
        <v>0</v>
      </c>
      <c r="Z720" s="139">
        <f t="shared" si="96"/>
        <v>823887.99</v>
      </c>
      <c r="AA720" s="407">
        <f t="shared" si="90"/>
        <v>935958.69</v>
      </c>
      <c r="AB720" s="45"/>
      <c r="AC720" s="499"/>
      <c r="AD720" s="512"/>
      <c r="AE720" s="507"/>
      <c r="AF720" s="507"/>
      <c r="AG720" s="507"/>
      <c r="AH720" s="507"/>
      <c r="AI720" s="45"/>
      <c r="AJ720" s="45"/>
      <c r="AK720" s="45"/>
      <c r="AL720" s="45"/>
      <c r="AM720" s="45"/>
      <c r="AN720" s="45"/>
      <c r="AO720" s="45"/>
      <c r="AP720" s="45"/>
      <c r="AQ720" s="45"/>
      <c r="AR720" s="45"/>
      <c r="AS720" s="45"/>
      <c r="AT720" s="45"/>
      <c r="AU720" s="45"/>
      <c r="AV720" s="45"/>
      <c r="AW720" s="45"/>
      <c r="AX720" s="45"/>
      <c r="AY720" s="45"/>
      <c r="AZ720" s="45"/>
      <c r="BA720" s="45"/>
      <c r="BB720" s="45"/>
      <c r="BC720" s="45"/>
      <c r="BD720" s="45"/>
      <c r="BE720" s="45"/>
      <c r="BF720" s="45"/>
      <c r="BG720" s="45"/>
      <c r="BH720" s="45"/>
      <c r="BI720" s="45"/>
      <c r="BJ720" s="45"/>
    </row>
    <row r="721" spans="1:34" s="362" customFormat="1" ht="47.25">
      <c r="A721" s="586"/>
      <c r="B721" s="586"/>
      <c r="C721" s="135" t="s">
        <v>1945</v>
      </c>
      <c r="D721" s="1" t="s">
        <v>586</v>
      </c>
      <c r="E721" s="142"/>
      <c r="F721" s="143"/>
      <c r="G721" s="142"/>
      <c r="H721" s="417" t="s">
        <v>47</v>
      </c>
      <c r="I721" s="144">
        <v>1759846.68</v>
      </c>
      <c r="J721" s="144"/>
      <c r="K721" s="144"/>
      <c r="L721" s="49">
        <v>1759846.68</v>
      </c>
      <c r="M721" s="144"/>
      <c r="N721" s="407"/>
      <c r="O721" s="407"/>
      <c r="P721" s="407"/>
      <c r="Q721" s="407"/>
      <c r="R721" s="407">
        <v>460000</v>
      </c>
      <c r="S721" s="407">
        <f>300000</f>
        <v>300000</v>
      </c>
      <c r="T721" s="407">
        <f>200000</f>
        <v>200000</v>
      </c>
      <c r="U721" s="407">
        <v>200000</v>
      </c>
      <c r="V721" s="407">
        <v>200000</v>
      </c>
      <c r="W721" s="407">
        <v>200000</v>
      </c>
      <c r="X721" s="407">
        <v>199846.68</v>
      </c>
      <c r="Y721" s="407"/>
      <c r="Z721" s="407">
        <f>65132.9+200366.31+60605.67+76456.8+14488.88+107440.2+26295.81+40400.8+77357+34389+40425+7162.86+12351.6+36659+193+9130.16+15033</f>
        <v>823887.99</v>
      </c>
      <c r="AA721" s="407">
        <f t="shared" si="90"/>
        <v>935958.69</v>
      </c>
      <c r="AB721" s="490"/>
      <c r="AC721" s="501"/>
      <c r="AD721" s="512">
        <v>1759846.68</v>
      </c>
      <c r="AE721" s="646" t="s">
        <v>1017</v>
      </c>
      <c r="AF721" s="647"/>
      <c r="AG721" s="648"/>
      <c r="AH721" s="507" t="s">
        <v>1005</v>
      </c>
    </row>
    <row r="722" spans="1:34" s="362" customFormat="1" ht="73.5" customHeight="1" hidden="1">
      <c r="A722" s="586"/>
      <c r="B722" s="586"/>
      <c r="C722" s="135"/>
      <c r="D722" s="13" t="s">
        <v>587</v>
      </c>
      <c r="E722" s="142"/>
      <c r="F722" s="143"/>
      <c r="G722" s="142"/>
      <c r="H722" s="417">
        <v>3131</v>
      </c>
      <c r="I722" s="144">
        <f>513000-513000</f>
        <v>0</v>
      </c>
      <c r="J722" s="144"/>
      <c r="K722" s="144"/>
      <c r="L722" s="49">
        <v>513000</v>
      </c>
      <c r="M722" s="144"/>
      <c r="N722" s="407"/>
      <c r="O722" s="407"/>
      <c r="P722" s="407"/>
      <c r="Q722" s="407"/>
      <c r="R722" s="407">
        <v>200000</v>
      </c>
      <c r="S722" s="407"/>
      <c r="T722" s="407">
        <v>313000</v>
      </c>
      <c r="U722" s="407">
        <f>-513000</f>
        <v>-513000</v>
      </c>
      <c r="V722" s="407"/>
      <c r="W722" s="407"/>
      <c r="X722" s="407"/>
      <c r="Y722" s="407"/>
      <c r="Z722" s="407"/>
      <c r="AA722" s="407">
        <f t="shared" si="90"/>
        <v>0</v>
      </c>
      <c r="AC722" s="501"/>
      <c r="AD722" s="512"/>
      <c r="AE722" s="507"/>
      <c r="AF722" s="507"/>
      <c r="AG722" s="507"/>
      <c r="AH722" s="507"/>
    </row>
    <row r="723" spans="1:62" s="28" customFormat="1" ht="15.75">
      <c r="A723" s="605">
        <v>100203</v>
      </c>
      <c r="B723" s="605" t="s">
        <v>201</v>
      </c>
      <c r="C723" s="267"/>
      <c r="D723" s="216" t="s">
        <v>1456</v>
      </c>
      <c r="E723" s="137"/>
      <c r="F723" s="159"/>
      <c r="G723" s="137"/>
      <c r="H723" s="416"/>
      <c r="I723" s="139">
        <f>SUM(I724:I724)</f>
        <v>20000</v>
      </c>
      <c r="J723" s="139">
        <f>SUM(J724:J724)</f>
        <v>0</v>
      </c>
      <c r="K723" s="139">
        <f>SUM(K724:K724)</f>
        <v>0</v>
      </c>
      <c r="L723" s="139">
        <f>SUM(L724:L724)</f>
        <v>20000</v>
      </c>
      <c r="M723" s="139">
        <f>SUM(M724:M724)</f>
        <v>0</v>
      </c>
      <c r="N723" s="139">
        <f aca="true" t="shared" si="97" ref="N723:Z723">SUM(N724:N724)</f>
        <v>0</v>
      </c>
      <c r="O723" s="139">
        <f t="shared" si="97"/>
        <v>0</v>
      </c>
      <c r="P723" s="139">
        <f t="shared" si="97"/>
        <v>0</v>
      </c>
      <c r="Q723" s="139">
        <f t="shared" si="97"/>
        <v>0</v>
      </c>
      <c r="R723" s="139">
        <f t="shared" si="97"/>
        <v>20000</v>
      </c>
      <c r="S723" s="139">
        <f t="shared" si="97"/>
        <v>0</v>
      </c>
      <c r="T723" s="139">
        <f t="shared" si="97"/>
        <v>0</v>
      </c>
      <c r="U723" s="139">
        <f t="shared" si="97"/>
        <v>0</v>
      </c>
      <c r="V723" s="139">
        <f t="shared" si="97"/>
        <v>0</v>
      </c>
      <c r="W723" s="139">
        <f t="shared" si="97"/>
        <v>0</v>
      </c>
      <c r="X723" s="139">
        <f t="shared" si="97"/>
        <v>0</v>
      </c>
      <c r="Y723" s="139">
        <f t="shared" si="97"/>
        <v>0</v>
      </c>
      <c r="Z723" s="139">
        <f t="shared" si="97"/>
        <v>0</v>
      </c>
      <c r="AA723" s="407">
        <f t="shared" si="90"/>
        <v>20000</v>
      </c>
      <c r="AB723" s="30"/>
      <c r="AC723" s="59"/>
      <c r="AD723" s="514"/>
      <c r="AE723" s="509"/>
      <c r="AF723" s="509"/>
      <c r="AG723" s="509"/>
      <c r="AH723" s="509"/>
      <c r="AI723" s="30"/>
      <c r="AJ723" s="30"/>
      <c r="AK723" s="30"/>
      <c r="AL723" s="30"/>
      <c r="AM723" s="30"/>
      <c r="AN723" s="30"/>
      <c r="AO723" s="30"/>
      <c r="AP723" s="30"/>
      <c r="AQ723" s="30"/>
      <c r="AR723" s="30"/>
      <c r="AS723" s="30"/>
      <c r="AT723" s="30"/>
      <c r="AU723" s="30"/>
      <c r="AV723" s="30"/>
      <c r="AW723" s="30"/>
      <c r="AX723" s="30"/>
      <c r="AY723" s="30"/>
      <c r="AZ723" s="30"/>
      <c r="BA723" s="30"/>
      <c r="BB723" s="30"/>
      <c r="BC723" s="30"/>
      <c r="BD723" s="30"/>
      <c r="BE723" s="30"/>
      <c r="BF723" s="30"/>
      <c r="BG723" s="30"/>
      <c r="BH723" s="30"/>
      <c r="BI723" s="30"/>
      <c r="BJ723" s="30"/>
    </row>
    <row r="724" spans="1:34" s="40" customFormat="1" ht="47.25">
      <c r="A724" s="607"/>
      <c r="B724" s="607"/>
      <c r="C724" s="266"/>
      <c r="D724" s="217" t="s">
        <v>748</v>
      </c>
      <c r="E724" s="142"/>
      <c r="F724" s="143"/>
      <c r="G724" s="142"/>
      <c r="H724" s="417">
        <v>3132</v>
      </c>
      <c r="I724" s="144">
        <v>20000</v>
      </c>
      <c r="J724" s="144"/>
      <c r="K724" s="144"/>
      <c r="L724" s="471">
        <v>20000</v>
      </c>
      <c r="M724" s="144"/>
      <c r="N724" s="407"/>
      <c r="O724" s="407"/>
      <c r="P724" s="407"/>
      <c r="Q724" s="407"/>
      <c r="R724" s="407">
        <v>20000</v>
      </c>
      <c r="S724" s="407"/>
      <c r="T724" s="407"/>
      <c r="U724" s="407"/>
      <c r="V724" s="407"/>
      <c r="W724" s="407"/>
      <c r="X724" s="407"/>
      <c r="Y724" s="407"/>
      <c r="Z724" s="407"/>
      <c r="AA724" s="407">
        <f t="shared" si="90"/>
        <v>20000</v>
      </c>
      <c r="AC724" s="498"/>
      <c r="AD724" s="512">
        <v>20000</v>
      </c>
      <c r="AE724" s="507"/>
      <c r="AF724" s="507"/>
      <c r="AG724" s="507"/>
      <c r="AH724" s="507" t="s">
        <v>1005</v>
      </c>
    </row>
    <row r="725" spans="1:62" s="28" customFormat="1" ht="15.75">
      <c r="A725" s="605">
        <v>150101</v>
      </c>
      <c r="B725" s="605" t="s">
        <v>2025</v>
      </c>
      <c r="C725" s="195"/>
      <c r="D725" s="216" t="s">
        <v>1456</v>
      </c>
      <c r="E725" s="137"/>
      <c r="F725" s="159"/>
      <c r="G725" s="137"/>
      <c r="H725" s="416"/>
      <c r="I725" s="139">
        <f aca="true" t="shared" si="98" ref="I725:Z725">SUM(I726:I750)</f>
        <v>19524624.62</v>
      </c>
      <c r="J725" s="139">
        <f t="shared" si="98"/>
        <v>0</v>
      </c>
      <c r="K725" s="139">
        <f t="shared" si="98"/>
        <v>0</v>
      </c>
      <c r="L725" s="139">
        <f t="shared" si="98"/>
        <v>26266288.57</v>
      </c>
      <c r="M725" s="139">
        <f t="shared" si="98"/>
        <v>0</v>
      </c>
      <c r="N725" s="139">
        <f t="shared" si="98"/>
        <v>0</v>
      </c>
      <c r="O725" s="139">
        <f t="shared" si="98"/>
        <v>1278506.72</v>
      </c>
      <c r="P725" s="139">
        <f t="shared" si="98"/>
        <v>0</v>
      </c>
      <c r="Q725" s="139">
        <f t="shared" si="98"/>
        <v>770000</v>
      </c>
      <c r="R725" s="139">
        <f t="shared" si="98"/>
        <v>1062994</v>
      </c>
      <c r="S725" s="139">
        <f t="shared" si="98"/>
        <v>6661395</v>
      </c>
      <c r="T725" s="139">
        <f t="shared" si="98"/>
        <v>2528886.59</v>
      </c>
      <c r="U725" s="139">
        <f t="shared" si="98"/>
        <v>3969780.2</v>
      </c>
      <c r="V725" s="139">
        <f t="shared" si="98"/>
        <v>2157845.62</v>
      </c>
      <c r="W725" s="139">
        <f>SUM(W726:W750)</f>
        <v>1646619.68</v>
      </c>
      <c r="X725" s="139">
        <f t="shared" si="98"/>
        <v>-551403.19</v>
      </c>
      <c r="Y725" s="139">
        <f t="shared" si="98"/>
        <v>0</v>
      </c>
      <c r="Z725" s="139">
        <f t="shared" si="98"/>
        <v>2617268.46</v>
      </c>
      <c r="AA725" s="407">
        <f t="shared" si="90"/>
        <v>16907356.16</v>
      </c>
      <c r="AB725" s="30"/>
      <c r="AC725" s="59"/>
      <c r="AD725" s="514"/>
      <c r="AE725" s="509"/>
      <c r="AF725" s="509"/>
      <c r="AG725" s="509"/>
      <c r="AH725" s="509"/>
      <c r="AI725" s="30"/>
      <c r="AJ725" s="30"/>
      <c r="AK725" s="30"/>
      <c r="AL725" s="30"/>
      <c r="AM725" s="30"/>
      <c r="AN725" s="30"/>
      <c r="AO725" s="30"/>
      <c r="AP725" s="30"/>
      <c r="AQ725" s="30"/>
      <c r="AR725" s="30"/>
      <c r="AS725" s="30"/>
      <c r="AT725" s="30"/>
      <c r="AU725" s="30"/>
      <c r="AV725" s="30"/>
      <c r="AW725" s="30"/>
      <c r="AX725" s="30"/>
      <c r="AY725" s="30"/>
      <c r="AZ725" s="30"/>
      <c r="BA725" s="30"/>
      <c r="BB725" s="30"/>
      <c r="BC725" s="30"/>
      <c r="BD725" s="30"/>
      <c r="BE725" s="30"/>
      <c r="BF725" s="30"/>
      <c r="BG725" s="30"/>
      <c r="BH725" s="30"/>
      <c r="BI725" s="30"/>
      <c r="BJ725" s="30"/>
    </row>
    <row r="726" spans="1:34" s="45" customFormat="1" ht="153">
      <c r="A726" s="607"/>
      <c r="B726" s="607"/>
      <c r="C726" s="266" t="s">
        <v>323</v>
      </c>
      <c r="D726" s="14" t="s">
        <v>1183</v>
      </c>
      <c r="E726" s="142">
        <v>33041.378</v>
      </c>
      <c r="F726" s="143">
        <f>100%-((E726-G726)/E726)</f>
        <v>0.165</v>
      </c>
      <c r="G726" s="142">
        <v>5447.952</v>
      </c>
      <c r="H726" s="417">
        <v>3142</v>
      </c>
      <c r="I726" s="144">
        <v>1278506.72</v>
      </c>
      <c r="J726" s="144"/>
      <c r="K726" s="153"/>
      <c r="L726" s="69">
        <v>1278506.72</v>
      </c>
      <c r="M726" s="144"/>
      <c r="N726" s="407"/>
      <c r="O726" s="144">
        <v>1278506.72</v>
      </c>
      <c r="P726" s="407"/>
      <c r="Q726" s="407"/>
      <c r="R726" s="407"/>
      <c r="S726" s="407"/>
      <c r="T726" s="407"/>
      <c r="U726" s="407"/>
      <c r="V726" s="407"/>
      <c r="W726" s="407"/>
      <c r="X726" s="407"/>
      <c r="Y726" s="407"/>
      <c r="Z726" s="144">
        <v>1278506.72</v>
      </c>
      <c r="AA726" s="407">
        <f t="shared" si="90"/>
        <v>0</v>
      </c>
      <c r="AC726" s="499"/>
      <c r="AD726" s="512">
        <v>1278506.72</v>
      </c>
      <c r="AE726" s="507">
        <v>3845764.8</v>
      </c>
      <c r="AF726" s="507" t="s">
        <v>674</v>
      </c>
      <c r="AG726" s="507" t="s">
        <v>1026</v>
      </c>
      <c r="AH726" s="507" t="s">
        <v>1027</v>
      </c>
    </row>
    <row r="727" spans="1:34" s="362" customFormat="1" ht="18" customHeight="1" hidden="1">
      <c r="A727" s="607"/>
      <c r="B727" s="607"/>
      <c r="C727" s="266"/>
      <c r="D727" s="374" t="s">
        <v>749</v>
      </c>
      <c r="E727" s="142"/>
      <c r="F727" s="143"/>
      <c r="G727" s="142"/>
      <c r="H727" s="417">
        <v>3122</v>
      </c>
      <c r="I727" s="144">
        <f>20000-20000</f>
        <v>0</v>
      </c>
      <c r="J727" s="144"/>
      <c r="K727" s="144"/>
      <c r="L727" s="49">
        <v>20000</v>
      </c>
      <c r="M727" s="144"/>
      <c r="N727" s="407"/>
      <c r="O727" s="407"/>
      <c r="P727" s="407"/>
      <c r="Q727" s="407"/>
      <c r="R727" s="407"/>
      <c r="S727" s="407"/>
      <c r="T727" s="407"/>
      <c r="U727" s="407"/>
      <c r="V727" s="407"/>
      <c r="W727" s="407">
        <f>20000-20000</f>
        <v>0</v>
      </c>
      <c r="X727" s="407"/>
      <c r="Y727" s="407"/>
      <c r="Z727" s="407"/>
      <c r="AA727" s="407">
        <f t="shared" si="90"/>
        <v>0</v>
      </c>
      <c r="AC727" s="501"/>
      <c r="AD727" s="512"/>
      <c r="AE727" s="507"/>
      <c r="AF727" s="507"/>
      <c r="AG727" s="507"/>
      <c r="AH727" s="507"/>
    </row>
    <row r="728" spans="1:34" s="362" customFormat="1" ht="15.75" hidden="1">
      <c r="A728" s="607"/>
      <c r="B728" s="607"/>
      <c r="C728" s="266"/>
      <c r="D728" s="374" t="s">
        <v>1613</v>
      </c>
      <c r="E728" s="142"/>
      <c r="F728" s="143"/>
      <c r="G728" s="142"/>
      <c r="H728" s="417">
        <v>3122</v>
      </c>
      <c r="I728" s="144">
        <f>20000-20000</f>
        <v>0</v>
      </c>
      <c r="J728" s="144"/>
      <c r="K728" s="144"/>
      <c r="L728" s="49">
        <v>20000</v>
      </c>
      <c r="M728" s="144"/>
      <c r="N728" s="407"/>
      <c r="O728" s="407"/>
      <c r="P728" s="407"/>
      <c r="Q728" s="407"/>
      <c r="R728" s="407"/>
      <c r="S728" s="407"/>
      <c r="T728" s="407"/>
      <c r="U728" s="407"/>
      <c r="V728" s="407"/>
      <c r="W728" s="407">
        <f>20000-20000</f>
        <v>0</v>
      </c>
      <c r="X728" s="407"/>
      <c r="Y728" s="407"/>
      <c r="Z728" s="407"/>
      <c r="AA728" s="407">
        <f t="shared" si="90"/>
        <v>0</v>
      </c>
      <c r="AC728" s="501"/>
      <c r="AD728" s="512"/>
      <c r="AE728" s="507"/>
      <c r="AF728" s="507"/>
      <c r="AG728" s="507"/>
      <c r="AH728" s="507"/>
    </row>
    <row r="729" spans="1:34" s="362" customFormat="1" ht="31.5" hidden="1">
      <c r="A729" s="607"/>
      <c r="B729" s="607"/>
      <c r="C729" s="266"/>
      <c r="D729" s="14" t="s">
        <v>1147</v>
      </c>
      <c r="E729" s="142"/>
      <c r="F729" s="143"/>
      <c r="G729" s="142"/>
      <c r="H729" s="417">
        <v>3122</v>
      </c>
      <c r="I729" s="144">
        <f>15000-15000</f>
        <v>0</v>
      </c>
      <c r="J729" s="144"/>
      <c r="K729" s="144"/>
      <c r="L729" s="49">
        <v>15000</v>
      </c>
      <c r="M729" s="144"/>
      <c r="N729" s="407"/>
      <c r="O729" s="407"/>
      <c r="P729" s="407"/>
      <c r="Q729" s="407"/>
      <c r="R729" s="407"/>
      <c r="S729" s="407"/>
      <c r="T729" s="407"/>
      <c r="U729" s="407"/>
      <c r="V729" s="407"/>
      <c r="W729" s="407">
        <f>15000-15000</f>
        <v>0</v>
      </c>
      <c r="X729" s="407"/>
      <c r="Y729" s="407"/>
      <c r="Z729" s="407"/>
      <c r="AA729" s="407">
        <f t="shared" si="90"/>
        <v>0</v>
      </c>
      <c r="AC729" s="501"/>
      <c r="AD729" s="512"/>
      <c r="AE729" s="507"/>
      <c r="AF729" s="507"/>
      <c r="AG729" s="507"/>
      <c r="AH729" s="507"/>
    </row>
    <row r="730" spans="1:34" s="362" customFormat="1" ht="15.75" hidden="1">
      <c r="A730" s="607"/>
      <c r="B730" s="607"/>
      <c r="C730" s="266"/>
      <c r="D730" s="14" t="s">
        <v>1148</v>
      </c>
      <c r="E730" s="142"/>
      <c r="F730" s="143"/>
      <c r="G730" s="142"/>
      <c r="H730" s="417">
        <v>3122</v>
      </c>
      <c r="I730" s="144">
        <f>15000-15000</f>
        <v>0</v>
      </c>
      <c r="J730" s="144"/>
      <c r="K730" s="144"/>
      <c r="L730" s="49">
        <v>15000</v>
      </c>
      <c r="M730" s="144"/>
      <c r="N730" s="407"/>
      <c r="O730" s="407"/>
      <c r="P730" s="407"/>
      <c r="Q730" s="407"/>
      <c r="R730" s="407"/>
      <c r="S730" s="407"/>
      <c r="T730" s="407"/>
      <c r="U730" s="407"/>
      <c r="V730" s="407"/>
      <c r="W730" s="407">
        <f>15000-15000</f>
        <v>0</v>
      </c>
      <c r="X730" s="407"/>
      <c r="Y730" s="407"/>
      <c r="Z730" s="407"/>
      <c r="AA730" s="407">
        <f t="shared" si="90"/>
        <v>0</v>
      </c>
      <c r="AC730" s="501"/>
      <c r="AD730" s="512"/>
      <c r="AE730" s="507"/>
      <c r="AF730" s="507"/>
      <c r="AG730" s="507"/>
      <c r="AH730" s="507"/>
    </row>
    <row r="731" spans="1:34" s="362" customFormat="1" ht="31.5" hidden="1">
      <c r="A731" s="607"/>
      <c r="B731" s="607"/>
      <c r="C731" s="266"/>
      <c r="D731" s="13" t="s">
        <v>51</v>
      </c>
      <c r="E731" s="142"/>
      <c r="F731" s="143"/>
      <c r="G731" s="142"/>
      <c r="H731" s="417">
        <v>3142</v>
      </c>
      <c r="I731" s="144">
        <f>105000-105000</f>
        <v>0</v>
      </c>
      <c r="J731" s="144"/>
      <c r="K731" s="144"/>
      <c r="L731" s="49">
        <v>105000</v>
      </c>
      <c r="M731" s="144"/>
      <c r="N731" s="407"/>
      <c r="O731" s="407"/>
      <c r="P731" s="407"/>
      <c r="Q731" s="407"/>
      <c r="R731" s="407"/>
      <c r="S731" s="407"/>
      <c r="T731" s="407"/>
      <c r="U731" s="407"/>
      <c r="V731" s="407"/>
      <c r="W731" s="407">
        <f>105000-105000</f>
        <v>0</v>
      </c>
      <c r="X731" s="407"/>
      <c r="Y731" s="407"/>
      <c r="Z731" s="407"/>
      <c r="AA731" s="407">
        <f t="shared" si="90"/>
        <v>0</v>
      </c>
      <c r="AC731" s="501"/>
      <c r="AD731" s="512"/>
      <c r="AE731" s="507"/>
      <c r="AF731" s="507"/>
      <c r="AG731" s="507"/>
      <c r="AH731" s="507"/>
    </row>
    <row r="732" spans="1:34" s="362" customFormat="1" ht="47.25" hidden="1">
      <c r="A732" s="607"/>
      <c r="B732" s="607"/>
      <c r="C732" s="266"/>
      <c r="D732" s="14" t="s">
        <v>713</v>
      </c>
      <c r="E732" s="142"/>
      <c r="F732" s="143"/>
      <c r="G732" s="142"/>
      <c r="H732" s="417">
        <v>3122</v>
      </c>
      <c r="I732" s="144">
        <f>46300-46300</f>
        <v>0</v>
      </c>
      <c r="J732" s="144"/>
      <c r="K732" s="144"/>
      <c r="L732" s="49">
        <v>46300</v>
      </c>
      <c r="M732" s="144"/>
      <c r="N732" s="407"/>
      <c r="O732" s="407"/>
      <c r="P732" s="407"/>
      <c r="Q732" s="407"/>
      <c r="R732" s="407">
        <f>46300-46300</f>
        <v>0</v>
      </c>
      <c r="S732" s="407"/>
      <c r="T732" s="407"/>
      <c r="U732" s="407"/>
      <c r="V732" s="407"/>
      <c r="W732" s="407"/>
      <c r="X732" s="407"/>
      <c r="Y732" s="407"/>
      <c r="Z732" s="407"/>
      <c r="AA732" s="407">
        <f t="shared" si="90"/>
        <v>0</v>
      </c>
      <c r="AC732" s="501"/>
      <c r="AD732" s="512"/>
      <c r="AE732" s="507"/>
      <c r="AF732" s="507"/>
      <c r="AG732" s="507"/>
      <c r="AH732" s="507"/>
    </row>
    <row r="733" spans="1:34" s="362" customFormat="1" ht="47.25">
      <c r="A733" s="607"/>
      <c r="B733" s="607"/>
      <c r="C733" s="266"/>
      <c r="D733" s="14" t="s">
        <v>1526</v>
      </c>
      <c r="E733" s="142"/>
      <c r="F733" s="143"/>
      <c r="G733" s="142"/>
      <c r="H733" s="417">
        <v>3142</v>
      </c>
      <c r="I733" s="144">
        <v>100000</v>
      </c>
      <c r="J733" s="144"/>
      <c r="K733" s="144"/>
      <c r="L733" s="49"/>
      <c r="M733" s="144"/>
      <c r="N733" s="407"/>
      <c r="O733" s="407"/>
      <c r="P733" s="407"/>
      <c r="Q733" s="407"/>
      <c r="R733" s="407"/>
      <c r="S733" s="407"/>
      <c r="T733" s="407"/>
      <c r="U733" s="407"/>
      <c r="V733" s="407"/>
      <c r="W733" s="407">
        <v>100000</v>
      </c>
      <c r="X733" s="407"/>
      <c r="Y733" s="407"/>
      <c r="Z733" s="407">
        <v>6141.31</v>
      </c>
      <c r="AA733" s="407">
        <f t="shared" si="90"/>
        <v>93858.69</v>
      </c>
      <c r="AC733" s="501"/>
      <c r="AD733" s="512"/>
      <c r="AE733" s="507"/>
      <c r="AF733" s="507"/>
      <c r="AG733" s="507"/>
      <c r="AH733" s="507"/>
    </row>
    <row r="734" spans="1:34" s="362" customFormat="1" ht="38.25">
      <c r="A734" s="607"/>
      <c r="B734" s="607"/>
      <c r="C734" s="266" t="s">
        <v>632</v>
      </c>
      <c r="D734" s="1" t="s">
        <v>818</v>
      </c>
      <c r="E734" s="142">
        <v>16785.716</v>
      </c>
      <c r="F734" s="143">
        <f aca="true" t="shared" si="99" ref="F734:F739">100%-((E734-G734)/E734)</f>
        <v>0.906</v>
      </c>
      <c r="G734" s="142">
        <v>15203.15436</v>
      </c>
      <c r="H734" s="417">
        <v>3142</v>
      </c>
      <c r="I734" s="144">
        <v>106968</v>
      </c>
      <c r="J734" s="144"/>
      <c r="K734" s="144"/>
      <c r="L734" s="49">
        <v>106968</v>
      </c>
      <c r="M734" s="144"/>
      <c r="N734" s="407"/>
      <c r="O734" s="407"/>
      <c r="P734" s="407"/>
      <c r="Q734" s="407"/>
      <c r="R734" s="407">
        <v>47100</v>
      </c>
      <c r="S734" s="407">
        <v>59868</v>
      </c>
      <c r="T734" s="407"/>
      <c r="U734" s="407"/>
      <c r="V734" s="407"/>
      <c r="W734" s="407"/>
      <c r="X734" s="407"/>
      <c r="Y734" s="407"/>
      <c r="Z734" s="407">
        <v>47095.74</v>
      </c>
      <c r="AA734" s="407">
        <f t="shared" si="90"/>
        <v>59872.26</v>
      </c>
      <c r="AC734" s="501"/>
      <c r="AD734" s="512">
        <v>106968</v>
      </c>
      <c r="AE734" s="507">
        <v>951562.56</v>
      </c>
      <c r="AF734" s="507" t="s">
        <v>1028</v>
      </c>
      <c r="AG734" s="507" t="s">
        <v>1029</v>
      </c>
      <c r="AH734" s="507" t="s">
        <v>1005</v>
      </c>
    </row>
    <row r="735" spans="1:34" s="362" customFormat="1" ht="92.25" customHeight="1">
      <c r="A735" s="607"/>
      <c r="B735" s="607"/>
      <c r="C735" s="266" t="s">
        <v>626</v>
      </c>
      <c r="D735" s="1" t="s">
        <v>257</v>
      </c>
      <c r="E735" s="142">
        <v>990</v>
      </c>
      <c r="F735" s="143">
        <f t="shared" si="99"/>
        <v>1</v>
      </c>
      <c r="G735" s="142">
        <v>990</v>
      </c>
      <c r="H735" s="417">
        <v>3122</v>
      </c>
      <c r="I735" s="144">
        <v>2700000</v>
      </c>
      <c r="J735" s="144"/>
      <c r="K735" s="144"/>
      <c r="L735" s="49">
        <v>2700000</v>
      </c>
      <c r="M735" s="144"/>
      <c r="N735" s="407"/>
      <c r="O735" s="407"/>
      <c r="P735" s="407"/>
      <c r="Q735" s="407">
        <v>770000</v>
      </c>
      <c r="R735" s="407">
        <f>900000-300000</f>
        <v>600000</v>
      </c>
      <c r="S735" s="407">
        <v>1030000</v>
      </c>
      <c r="T735" s="407">
        <v>300000</v>
      </c>
      <c r="U735" s="407"/>
      <c r="V735" s="407"/>
      <c r="W735" s="407"/>
      <c r="X735" s="407"/>
      <c r="Y735" s="407"/>
      <c r="Z735" s="407">
        <f>535000+28000+8191.01</f>
        <v>571191.01</v>
      </c>
      <c r="AA735" s="407">
        <f t="shared" si="90"/>
        <v>2128808.99</v>
      </c>
      <c r="AC735" s="501"/>
      <c r="AD735" s="512">
        <v>2700000</v>
      </c>
      <c r="AE735" s="507">
        <v>4927226</v>
      </c>
      <c r="AF735" s="507" t="s">
        <v>1030</v>
      </c>
      <c r="AG735" s="507" t="s">
        <v>1031</v>
      </c>
      <c r="AH735" s="507" t="s">
        <v>1032</v>
      </c>
    </row>
    <row r="736" spans="1:34" s="362" customFormat="1" ht="63.75">
      <c r="A736" s="607"/>
      <c r="B736" s="607"/>
      <c r="C736" s="266" t="s">
        <v>628</v>
      </c>
      <c r="D736" s="14" t="s">
        <v>819</v>
      </c>
      <c r="E736" s="142">
        <v>972.32</v>
      </c>
      <c r="F736" s="143">
        <f t="shared" si="99"/>
        <v>0.082</v>
      </c>
      <c r="G736" s="142">
        <v>80</v>
      </c>
      <c r="H736" s="417">
        <v>3122</v>
      </c>
      <c r="I736" s="144">
        <f>419722-419722</f>
        <v>0</v>
      </c>
      <c r="J736" s="144"/>
      <c r="K736" s="144"/>
      <c r="L736" s="49">
        <v>419722</v>
      </c>
      <c r="M736" s="144"/>
      <c r="N736" s="407"/>
      <c r="O736" s="407"/>
      <c r="P736" s="407"/>
      <c r="Q736" s="407"/>
      <c r="R736" s="407"/>
      <c r="S736" s="407"/>
      <c r="T736" s="407"/>
      <c r="U736" s="407"/>
      <c r="V736" s="407"/>
      <c r="W736" s="407">
        <v>419722</v>
      </c>
      <c r="X736" s="407">
        <v>-419722</v>
      </c>
      <c r="Y736" s="407"/>
      <c r="Z736" s="407"/>
      <c r="AA736" s="407">
        <f t="shared" si="90"/>
        <v>0</v>
      </c>
      <c r="AC736" s="501"/>
      <c r="AD736" s="512">
        <v>419722</v>
      </c>
      <c r="AE736" s="507">
        <v>6887109</v>
      </c>
      <c r="AF736" s="507" t="s">
        <v>1033</v>
      </c>
      <c r="AG736" s="507" t="s">
        <v>1034</v>
      </c>
      <c r="AH736" s="507"/>
    </row>
    <row r="737" spans="1:34" s="362" customFormat="1" ht="63.75">
      <c r="A737" s="607"/>
      <c r="B737" s="607"/>
      <c r="C737" s="266" t="s">
        <v>894</v>
      </c>
      <c r="D737" s="14" t="s">
        <v>857</v>
      </c>
      <c r="E737" s="142">
        <v>3719.482</v>
      </c>
      <c r="F737" s="143">
        <f t="shared" si="99"/>
        <v>0.454</v>
      </c>
      <c r="G737" s="142">
        <v>1688.3</v>
      </c>
      <c r="H737" s="417">
        <v>3122</v>
      </c>
      <c r="I737" s="144">
        <v>42318.81</v>
      </c>
      <c r="J737" s="144"/>
      <c r="K737" s="144"/>
      <c r="L737" s="49">
        <v>42318.81</v>
      </c>
      <c r="M737" s="144"/>
      <c r="N737" s="407"/>
      <c r="O737" s="407"/>
      <c r="P737" s="407"/>
      <c r="Q737" s="407"/>
      <c r="R737" s="407"/>
      <c r="S737" s="407"/>
      <c r="T737" s="407"/>
      <c r="U737" s="407"/>
      <c r="V737" s="407"/>
      <c r="W737" s="407"/>
      <c r="X737" s="407">
        <v>42318.81</v>
      </c>
      <c r="Y737" s="407"/>
      <c r="Z737" s="407"/>
      <c r="AA737" s="407">
        <f t="shared" si="90"/>
        <v>42318.81</v>
      </c>
      <c r="AC737" s="501"/>
      <c r="AD737" s="512">
        <v>42318.81</v>
      </c>
      <c r="AE737" s="507">
        <v>359517</v>
      </c>
      <c r="AF737" s="507" t="s">
        <v>1035</v>
      </c>
      <c r="AG737" s="507" t="s">
        <v>1036</v>
      </c>
      <c r="AH737" s="507"/>
    </row>
    <row r="738" spans="1:34" s="362" customFormat="1" ht="31.5">
      <c r="A738" s="607"/>
      <c r="B738" s="607"/>
      <c r="C738" s="266" t="s">
        <v>896</v>
      </c>
      <c r="D738" s="14" t="s">
        <v>858</v>
      </c>
      <c r="E738" s="142"/>
      <c r="F738" s="143" t="e">
        <f t="shared" si="99"/>
        <v>#DIV/0!</v>
      </c>
      <c r="G738" s="142"/>
      <c r="H738" s="417">
        <v>3122</v>
      </c>
      <c r="I738" s="144">
        <v>150000</v>
      </c>
      <c r="J738" s="144"/>
      <c r="K738" s="144"/>
      <c r="L738" s="49">
        <v>150000</v>
      </c>
      <c r="M738" s="144"/>
      <c r="N738" s="407"/>
      <c r="O738" s="407"/>
      <c r="P738" s="407"/>
      <c r="Q738" s="407"/>
      <c r="R738" s="407"/>
      <c r="S738" s="407"/>
      <c r="T738" s="407"/>
      <c r="U738" s="407"/>
      <c r="V738" s="407"/>
      <c r="W738" s="407">
        <v>150000</v>
      </c>
      <c r="X738" s="407"/>
      <c r="Y738" s="407"/>
      <c r="Z738" s="407"/>
      <c r="AA738" s="407">
        <f t="shared" si="90"/>
        <v>150000</v>
      </c>
      <c r="AC738" s="501"/>
      <c r="AD738" s="512">
        <v>150000</v>
      </c>
      <c r="AE738" s="512">
        <v>150000</v>
      </c>
      <c r="AF738" s="507"/>
      <c r="AG738" s="507"/>
      <c r="AH738" s="507"/>
    </row>
    <row r="739" spans="1:34" s="362" customFormat="1" ht="63.75">
      <c r="A739" s="607"/>
      <c r="B739" s="607"/>
      <c r="C739" s="266"/>
      <c r="D739" s="14" t="s">
        <v>859</v>
      </c>
      <c r="E739" s="142"/>
      <c r="F739" s="143" t="e">
        <f t="shared" si="99"/>
        <v>#DIV/0!</v>
      </c>
      <c r="G739" s="142"/>
      <c r="H739" s="417">
        <v>3142</v>
      </c>
      <c r="I739" s="144">
        <f>650000-425000</f>
        <v>225000</v>
      </c>
      <c r="J739" s="144"/>
      <c r="K739" s="144"/>
      <c r="L739" s="49">
        <v>650000</v>
      </c>
      <c r="M739" s="144"/>
      <c r="N739" s="407"/>
      <c r="O739" s="407"/>
      <c r="P739" s="407"/>
      <c r="Q739" s="407"/>
      <c r="R739" s="407">
        <v>150000</v>
      </c>
      <c r="S739" s="407">
        <v>250000</v>
      </c>
      <c r="T739" s="407">
        <v>250000</v>
      </c>
      <c r="U739" s="407"/>
      <c r="V739" s="407"/>
      <c r="W739" s="407"/>
      <c r="X739" s="407">
        <v>-425000</v>
      </c>
      <c r="Y739" s="407"/>
      <c r="Z739" s="407">
        <f>16269.35+37961.83+1742.4</f>
        <v>55973.58</v>
      </c>
      <c r="AA739" s="407">
        <f t="shared" si="90"/>
        <v>169026.42</v>
      </c>
      <c r="AC739" s="501"/>
      <c r="AD739" s="512">
        <v>650000</v>
      </c>
      <c r="AE739" s="512">
        <v>650000</v>
      </c>
      <c r="AF739" s="507"/>
      <c r="AG739" s="507" t="s">
        <v>1037</v>
      </c>
      <c r="AH739" s="507"/>
    </row>
    <row r="740" spans="1:34" s="362" customFormat="1" ht="31.5">
      <c r="A740" s="644"/>
      <c r="B740" s="644"/>
      <c r="C740" s="266" t="s">
        <v>1731</v>
      </c>
      <c r="D740" s="13" t="s">
        <v>1143</v>
      </c>
      <c r="E740" s="142"/>
      <c r="F740" s="143"/>
      <c r="G740" s="142"/>
      <c r="H740" s="417">
        <v>3122</v>
      </c>
      <c r="I740" s="144">
        <v>400000</v>
      </c>
      <c r="J740" s="144"/>
      <c r="K740" s="144"/>
      <c r="L740" s="49">
        <v>400000</v>
      </c>
      <c r="M740" s="144"/>
      <c r="N740" s="407"/>
      <c r="O740" s="407"/>
      <c r="P740" s="407"/>
      <c r="Q740" s="407"/>
      <c r="R740" s="407"/>
      <c r="S740" s="407"/>
      <c r="T740" s="407"/>
      <c r="U740" s="407"/>
      <c r="V740" s="407"/>
      <c r="W740" s="407">
        <v>400000</v>
      </c>
      <c r="X740" s="407"/>
      <c r="Y740" s="407"/>
      <c r="Z740" s="407"/>
      <c r="AA740" s="407">
        <f t="shared" si="90"/>
        <v>400000</v>
      </c>
      <c r="AC740" s="501"/>
      <c r="AD740" s="512">
        <v>400000</v>
      </c>
      <c r="AE740" s="507">
        <v>400000</v>
      </c>
      <c r="AF740" s="507"/>
      <c r="AG740" s="507"/>
      <c r="AH740" s="507"/>
    </row>
    <row r="741" spans="1:34" s="362" customFormat="1" ht="31.5">
      <c r="A741" s="644"/>
      <c r="B741" s="644"/>
      <c r="C741" s="266"/>
      <c r="D741" s="14" t="s">
        <v>1144</v>
      </c>
      <c r="E741" s="142"/>
      <c r="F741" s="143"/>
      <c r="G741" s="142"/>
      <c r="H741" s="417">
        <v>3142</v>
      </c>
      <c r="I741" s="144">
        <v>276897.68</v>
      </c>
      <c r="J741" s="144"/>
      <c r="K741" s="144"/>
      <c r="L741" s="49">
        <v>276897.68</v>
      </c>
      <c r="M741" s="144"/>
      <c r="N741" s="407"/>
      <c r="O741" s="407"/>
      <c r="P741" s="407"/>
      <c r="Q741" s="407"/>
      <c r="R741" s="407"/>
      <c r="S741" s="407"/>
      <c r="T741" s="407"/>
      <c r="U741" s="407"/>
      <c r="V741" s="407"/>
      <c r="W741" s="407">
        <v>276897.68</v>
      </c>
      <c r="X741" s="407"/>
      <c r="Y741" s="407"/>
      <c r="Z741" s="407"/>
      <c r="AA741" s="407">
        <f t="shared" si="90"/>
        <v>276897.68</v>
      </c>
      <c r="AC741" s="501"/>
      <c r="AD741" s="512">
        <v>276897.68</v>
      </c>
      <c r="AE741" s="512">
        <v>276897.68</v>
      </c>
      <c r="AF741" s="507"/>
      <c r="AG741" s="507"/>
      <c r="AH741" s="507"/>
    </row>
    <row r="742" spans="1:34" s="362" customFormat="1" ht="89.25">
      <c r="A742" s="644"/>
      <c r="B742" s="644"/>
      <c r="C742" s="266"/>
      <c r="D742" s="370" t="s">
        <v>627</v>
      </c>
      <c r="E742" s="142"/>
      <c r="F742" s="143"/>
      <c r="G742" s="142"/>
      <c r="H742" s="417">
        <v>3142</v>
      </c>
      <c r="I742" s="144">
        <v>78648</v>
      </c>
      <c r="J742" s="144"/>
      <c r="K742" s="144"/>
      <c r="L742" s="49">
        <v>78648</v>
      </c>
      <c r="M742" s="144"/>
      <c r="N742" s="407"/>
      <c r="O742" s="407"/>
      <c r="P742" s="407"/>
      <c r="Q742" s="407"/>
      <c r="R742" s="407">
        <v>78648</v>
      </c>
      <c r="S742" s="407"/>
      <c r="T742" s="407"/>
      <c r="U742" s="407"/>
      <c r="V742" s="407"/>
      <c r="W742" s="407"/>
      <c r="X742" s="407"/>
      <c r="Y742" s="407"/>
      <c r="Z742" s="407"/>
      <c r="AA742" s="407">
        <f t="shared" si="90"/>
        <v>78648</v>
      </c>
      <c r="AC742" s="501"/>
      <c r="AD742" s="512">
        <v>78648</v>
      </c>
      <c r="AE742" s="507">
        <v>95749.17</v>
      </c>
      <c r="AF742" s="507" t="s">
        <v>2131</v>
      </c>
      <c r="AG742" s="507" t="s">
        <v>1280</v>
      </c>
      <c r="AH742" s="507"/>
    </row>
    <row r="743" spans="1:34" s="362" customFormat="1" ht="63.75">
      <c r="A743" s="644"/>
      <c r="B743" s="644"/>
      <c r="C743" s="266"/>
      <c r="D743" s="14" t="s">
        <v>146</v>
      </c>
      <c r="E743" s="142"/>
      <c r="F743" s="143"/>
      <c r="G743" s="142"/>
      <c r="H743" s="417">
        <v>3142</v>
      </c>
      <c r="I743" s="144">
        <v>97246</v>
      </c>
      <c r="J743" s="144"/>
      <c r="K743" s="144"/>
      <c r="L743" s="49">
        <v>97246</v>
      </c>
      <c r="M743" s="144"/>
      <c r="N743" s="407"/>
      <c r="O743" s="407"/>
      <c r="P743" s="407"/>
      <c r="Q743" s="407"/>
      <c r="R743" s="407">
        <v>97246</v>
      </c>
      <c r="S743" s="407"/>
      <c r="T743" s="407"/>
      <c r="U743" s="407"/>
      <c r="V743" s="407"/>
      <c r="W743" s="407"/>
      <c r="X743" s="407"/>
      <c r="Y743" s="407"/>
      <c r="Z743" s="407"/>
      <c r="AA743" s="407">
        <f aca="true" t="shared" si="100" ref="AA743:AA806">N743+O743+P743+Q743+R743+S743+T743+U743+V743+W743+X743-Z743</f>
        <v>97246</v>
      </c>
      <c r="AC743" s="501"/>
      <c r="AD743" s="512">
        <v>97246</v>
      </c>
      <c r="AE743" s="512">
        <v>846864.69</v>
      </c>
      <c r="AF743" s="512" t="s">
        <v>1281</v>
      </c>
      <c r="AG743" s="507" t="s">
        <v>1282</v>
      </c>
      <c r="AH743" s="507" t="s">
        <v>1283</v>
      </c>
    </row>
    <row r="744" spans="1:34" s="362" customFormat="1" ht="15.75" hidden="1">
      <c r="A744" s="644"/>
      <c r="B744" s="644"/>
      <c r="C744" s="266"/>
      <c r="D744" s="676" t="s">
        <v>147</v>
      </c>
      <c r="E744" s="142"/>
      <c r="F744" s="143"/>
      <c r="G744" s="142"/>
      <c r="H744" s="678">
        <v>3142</v>
      </c>
      <c r="I744" s="144">
        <f>15203154.36-8909732.21-6293422.15</f>
        <v>0</v>
      </c>
      <c r="J744" s="144"/>
      <c r="K744" s="144"/>
      <c r="L744" s="49">
        <v>15203154.36</v>
      </c>
      <c r="M744" s="144"/>
      <c r="N744" s="407"/>
      <c r="O744" s="407"/>
      <c r="P744" s="407"/>
      <c r="Q744" s="407"/>
      <c r="R744" s="407"/>
      <c r="S744" s="407">
        <f>4560000-3560000-1000000</f>
        <v>0</v>
      </c>
      <c r="T744" s="407">
        <f>1500000-1429886.59-49000-12000-9113.41</f>
        <v>0</v>
      </c>
      <c r="U744" s="407">
        <f>2500000-2472000-28000</f>
        <v>0</v>
      </c>
      <c r="V744" s="407">
        <f>2500000-1447845.62-30000-1022154.38</f>
        <v>0</v>
      </c>
      <c r="W744" s="407">
        <f>2500000-1584000+1000000-95000-1821000</f>
        <v>0</v>
      </c>
      <c r="X744" s="407">
        <f>1500000+1584000+49000+165000-3298000</f>
        <v>0</v>
      </c>
      <c r="Y744" s="407">
        <f>143154.36+9113.41-152267.77</f>
        <v>0</v>
      </c>
      <c r="Z744" s="407"/>
      <c r="AA744" s="407">
        <f t="shared" si="100"/>
        <v>0</v>
      </c>
      <c r="AC744" s="501"/>
      <c r="AD744" s="697">
        <v>8909732.21</v>
      </c>
      <c r="AE744" s="697">
        <v>15191564.94</v>
      </c>
      <c r="AF744" s="697" t="s">
        <v>1284</v>
      </c>
      <c r="AG744" s="641" t="s">
        <v>1285</v>
      </c>
      <c r="AH744" s="692" t="s">
        <v>1286</v>
      </c>
    </row>
    <row r="745" spans="1:34" s="362" customFormat="1" ht="15.75">
      <c r="A745" s="644"/>
      <c r="B745" s="644"/>
      <c r="C745" s="266"/>
      <c r="D745" s="677"/>
      <c r="E745" s="142"/>
      <c r="F745" s="143"/>
      <c r="G745" s="142"/>
      <c r="H745" s="679"/>
      <c r="I745" s="144">
        <v>8909732.21</v>
      </c>
      <c r="J745" s="144"/>
      <c r="K745" s="144"/>
      <c r="L745" s="49"/>
      <c r="M745" s="144"/>
      <c r="N745" s="407"/>
      <c r="O745" s="407"/>
      <c r="P745" s="407"/>
      <c r="Q745" s="407"/>
      <c r="R745" s="407"/>
      <c r="S745" s="407">
        <v>3560000</v>
      </c>
      <c r="T745" s="407">
        <v>1429886.59</v>
      </c>
      <c r="U745" s="407">
        <v>2472000</v>
      </c>
      <c r="V745" s="407">
        <v>1447845.62</v>
      </c>
      <c r="W745" s="407"/>
      <c r="X745" s="407"/>
      <c r="Y745" s="407"/>
      <c r="Z745" s="407"/>
      <c r="AA745" s="407">
        <f t="shared" si="100"/>
        <v>8909732.21</v>
      </c>
      <c r="AB745" s="362" t="s">
        <v>745</v>
      </c>
      <c r="AC745" s="501"/>
      <c r="AD745" s="698"/>
      <c r="AE745" s="698"/>
      <c r="AF745" s="698"/>
      <c r="AG745" s="643"/>
      <c r="AH745" s="693"/>
    </row>
    <row r="746" spans="1:34" s="362" customFormat="1" ht="51">
      <c r="A746" s="644"/>
      <c r="B746" s="644"/>
      <c r="C746" s="266"/>
      <c r="D746" s="14" t="s">
        <v>148</v>
      </c>
      <c r="E746" s="142"/>
      <c r="F746" s="143"/>
      <c r="G746" s="142"/>
      <c r="H746" s="417">
        <v>3142</v>
      </c>
      <c r="I746" s="144">
        <f>1761527+1273546</f>
        <v>3035073</v>
      </c>
      <c r="J746" s="144"/>
      <c r="K746" s="144"/>
      <c r="L746" s="49">
        <v>1761527</v>
      </c>
      <c r="M746" s="144"/>
      <c r="N746" s="407"/>
      <c r="O746" s="407"/>
      <c r="P746" s="407"/>
      <c r="Q746" s="407"/>
      <c r="R746" s="407"/>
      <c r="S746" s="407">
        <v>1761527</v>
      </c>
      <c r="T746" s="407"/>
      <c r="U746" s="407">
        <v>1273546</v>
      </c>
      <c r="V746" s="407"/>
      <c r="W746" s="407"/>
      <c r="X746" s="407"/>
      <c r="Y746" s="407"/>
      <c r="Z746" s="407"/>
      <c r="AA746" s="407">
        <f t="shared" si="100"/>
        <v>3035073</v>
      </c>
      <c r="AC746" s="501"/>
      <c r="AD746" s="512">
        <v>3035073</v>
      </c>
      <c r="AE746" s="512">
        <v>3845764.8</v>
      </c>
      <c r="AF746" s="512" t="s">
        <v>1287</v>
      </c>
      <c r="AG746" s="507" t="s">
        <v>1288</v>
      </c>
      <c r="AH746" s="507" t="s">
        <v>1289</v>
      </c>
    </row>
    <row r="747" spans="1:34" s="362" customFormat="1" ht="63.75">
      <c r="A747" s="644"/>
      <c r="B747" s="644"/>
      <c r="C747" s="266"/>
      <c r="D747" s="1" t="s">
        <v>1402</v>
      </c>
      <c r="E747" s="142"/>
      <c r="F747" s="143"/>
      <c r="G747" s="142"/>
      <c r="H747" s="417">
        <v>3122</v>
      </c>
      <c r="I747" s="144">
        <f>1510000-455765.8</f>
        <v>1054234.2</v>
      </c>
      <c r="J747" s="144"/>
      <c r="K747" s="144"/>
      <c r="L747" s="49">
        <v>1510000</v>
      </c>
      <c r="M747" s="144"/>
      <c r="N747" s="407"/>
      <c r="O747" s="407"/>
      <c r="P747" s="407"/>
      <c r="Q747" s="407"/>
      <c r="R747" s="407"/>
      <c r="S747" s="407"/>
      <c r="T747" s="407">
        <v>500000</v>
      </c>
      <c r="U747" s="407">
        <f>600000-455765.8</f>
        <v>144234.2</v>
      </c>
      <c r="V747" s="407">
        <v>410000</v>
      </c>
      <c r="W747" s="407"/>
      <c r="X747" s="407"/>
      <c r="Y747" s="407"/>
      <c r="Z747" s="407"/>
      <c r="AA747" s="407">
        <f t="shared" si="100"/>
        <v>1054234.2</v>
      </c>
      <c r="AC747" s="501"/>
      <c r="AD747" s="512">
        <v>1054234.2</v>
      </c>
      <c r="AE747" s="512">
        <v>1568034.34</v>
      </c>
      <c r="AF747" s="512" t="s">
        <v>1290</v>
      </c>
      <c r="AG747" s="507" t="s">
        <v>1291</v>
      </c>
      <c r="AH747" s="507"/>
    </row>
    <row r="748" spans="1:34" s="362" customFormat="1" ht="38.25">
      <c r="A748" s="644"/>
      <c r="B748" s="644"/>
      <c r="C748" s="266"/>
      <c r="D748" s="540" t="s">
        <v>1358</v>
      </c>
      <c r="E748" s="142"/>
      <c r="F748" s="143"/>
      <c r="G748" s="142"/>
      <c r="H748" s="417">
        <v>3142</v>
      </c>
      <c r="I748" s="144">
        <v>980000</v>
      </c>
      <c r="J748" s="144"/>
      <c r="K748" s="144"/>
      <c r="L748" s="49">
        <v>980000</v>
      </c>
      <c r="M748" s="144"/>
      <c r="N748" s="407"/>
      <c r="O748" s="407"/>
      <c r="P748" s="407"/>
      <c r="Q748" s="407"/>
      <c r="R748" s="407"/>
      <c r="S748" s="407"/>
      <c r="T748" s="407">
        <v>49000</v>
      </c>
      <c r="U748" s="407">
        <v>80000</v>
      </c>
      <c r="V748" s="407">
        <v>300000</v>
      </c>
      <c r="W748" s="407">
        <v>300000</v>
      </c>
      <c r="X748" s="407">
        <f>300000-49000</f>
        <v>251000</v>
      </c>
      <c r="Y748" s="407"/>
      <c r="Z748" s="407">
        <f>14700+2640+34300+606720.1</f>
        <v>658360.1</v>
      </c>
      <c r="AA748" s="407">
        <f t="shared" si="100"/>
        <v>321639.9</v>
      </c>
      <c r="AC748" s="501"/>
      <c r="AD748" s="512">
        <v>980000</v>
      </c>
      <c r="AE748" s="512">
        <v>999050</v>
      </c>
      <c r="AF748" s="512"/>
      <c r="AG748" s="507" t="s">
        <v>1002</v>
      </c>
      <c r="AH748" s="507" t="s">
        <v>1005</v>
      </c>
    </row>
    <row r="749" spans="1:34" s="362" customFormat="1" ht="31.5" hidden="1">
      <c r="A749" s="644"/>
      <c r="B749" s="644"/>
      <c r="C749" s="266"/>
      <c r="D749" s="540" t="s">
        <v>887</v>
      </c>
      <c r="E749" s="142"/>
      <c r="F749" s="143"/>
      <c r="G749" s="142"/>
      <c r="H749" s="417">
        <v>3142</v>
      </c>
      <c r="I749" s="144">
        <f>300000-300000</f>
        <v>0</v>
      </c>
      <c r="J749" s="144"/>
      <c r="K749" s="144"/>
      <c r="L749" s="49">
        <v>300000</v>
      </c>
      <c r="M749" s="144"/>
      <c r="N749" s="407"/>
      <c r="O749" s="407"/>
      <c r="P749" s="407"/>
      <c r="Q749" s="407"/>
      <c r="R749" s="407"/>
      <c r="S749" s="407"/>
      <c r="T749" s="407"/>
      <c r="U749" s="407">
        <f>30000-30000</f>
        <v>0</v>
      </c>
      <c r="V749" s="407">
        <f>90000-90000</f>
        <v>0</v>
      </c>
      <c r="W749" s="407">
        <f>90000-90000</f>
        <v>0</v>
      </c>
      <c r="X749" s="407">
        <f>90000-90000</f>
        <v>0</v>
      </c>
      <c r="Y749" s="407"/>
      <c r="Z749" s="407"/>
      <c r="AA749" s="407">
        <f t="shared" si="100"/>
        <v>0</v>
      </c>
      <c r="AC749" s="501"/>
      <c r="AD749" s="512"/>
      <c r="AE749" s="512"/>
      <c r="AF749" s="512"/>
      <c r="AG749" s="507"/>
      <c r="AH749" s="507"/>
    </row>
    <row r="750" spans="1:34" s="362" customFormat="1" ht="32.25" customHeight="1">
      <c r="A750" s="645"/>
      <c r="B750" s="645"/>
      <c r="C750" s="266"/>
      <c r="D750" s="14" t="s">
        <v>428</v>
      </c>
      <c r="E750" s="142"/>
      <c r="F750" s="143"/>
      <c r="G750" s="142"/>
      <c r="H750" s="417">
        <v>3132</v>
      </c>
      <c r="I750" s="144">
        <v>90000</v>
      </c>
      <c r="J750" s="144"/>
      <c r="K750" s="144"/>
      <c r="L750" s="49">
        <v>90000</v>
      </c>
      <c r="M750" s="144"/>
      <c r="N750" s="407"/>
      <c r="O750" s="407"/>
      <c r="P750" s="407"/>
      <c r="Q750" s="407"/>
      <c r="R750" s="407">
        <v>90000</v>
      </c>
      <c r="S750" s="407"/>
      <c r="T750" s="407"/>
      <c r="U750" s="407"/>
      <c r="V750" s="407"/>
      <c r="W750" s="407"/>
      <c r="X750" s="407"/>
      <c r="Y750" s="407"/>
      <c r="Z750" s="407"/>
      <c r="AA750" s="407">
        <f t="shared" si="100"/>
        <v>90000</v>
      </c>
      <c r="AC750" s="501"/>
      <c r="AD750" s="512">
        <v>90000</v>
      </c>
      <c r="AE750" s="512">
        <v>90000</v>
      </c>
      <c r="AF750" s="512"/>
      <c r="AG750" s="507" t="s">
        <v>1292</v>
      </c>
      <c r="AH750" s="507"/>
    </row>
    <row r="751" spans="1:34" s="362" customFormat="1" ht="15.75">
      <c r="A751" s="578">
        <v>170603</v>
      </c>
      <c r="B751" s="578" t="s">
        <v>429</v>
      </c>
      <c r="C751" s="266"/>
      <c r="D751" s="71" t="s">
        <v>1456</v>
      </c>
      <c r="E751" s="137"/>
      <c r="F751" s="138"/>
      <c r="G751" s="137"/>
      <c r="H751" s="416"/>
      <c r="I751" s="395">
        <f>SUM(I752:I753)</f>
        <v>745470</v>
      </c>
      <c r="J751" s="395">
        <f>SUM(J752:J753)</f>
        <v>0</v>
      </c>
      <c r="K751" s="395">
        <f>SUM(K752:K753)</f>
        <v>0</v>
      </c>
      <c r="L751" s="395">
        <f>SUM(L752:L753)</f>
        <v>4745470</v>
      </c>
      <c r="M751" s="395">
        <f>SUM(M752:M753)</f>
        <v>0</v>
      </c>
      <c r="N751" s="395">
        <f aca="true" t="shared" si="101" ref="N751:Z751">SUM(N752:N753)</f>
        <v>0</v>
      </c>
      <c r="O751" s="395">
        <f t="shared" si="101"/>
        <v>0</v>
      </c>
      <c r="P751" s="395">
        <f t="shared" si="101"/>
        <v>0</v>
      </c>
      <c r="Q751" s="395">
        <f t="shared" si="101"/>
        <v>0</v>
      </c>
      <c r="R751" s="395">
        <f t="shared" si="101"/>
        <v>0</v>
      </c>
      <c r="S751" s="395">
        <f t="shared" si="101"/>
        <v>0</v>
      </c>
      <c r="T751" s="395">
        <f t="shared" si="101"/>
        <v>745470</v>
      </c>
      <c r="U751" s="395">
        <f t="shared" si="101"/>
        <v>0</v>
      </c>
      <c r="V751" s="395">
        <f t="shared" si="101"/>
        <v>0</v>
      </c>
      <c r="W751" s="395">
        <f t="shared" si="101"/>
        <v>0</v>
      </c>
      <c r="X751" s="395">
        <f t="shared" si="101"/>
        <v>0</v>
      </c>
      <c r="Y751" s="395">
        <f t="shared" si="101"/>
        <v>0</v>
      </c>
      <c r="Z751" s="395">
        <f t="shared" si="101"/>
        <v>0</v>
      </c>
      <c r="AA751" s="407">
        <f t="shared" si="100"/>
        <v>745470</v>
      </c>
      <c r="AC751" s="501"/>
      <c r="AD751" s="512"/>
      <c r="AE751" s="512"/>
      <c r="AF751" s="512"/>
      <c r="AG751" s="507"/>
      <c r="AH751" s="507"/>
    </row>
    <row r="752" spans="1:34" s="362" customFormat="1" ht="15.75" hidden="1">
      <c r="A752" s="579"/>
      <c r="B752" s="579"/>
      <c r="C752" s="266"/>
      <c r="D752" s="14" t="s">
        <v>1468</v>
      </c>
      <c r="E752" s="172"/>
      <c r="F752" s="229"/>
      <c r="G752" s="172"/>
      <c r="H752" s="417">
        <v>3110</v>
      </c>
      <c r="I752" s="144">
        <f>4000000-4000000</f>
        <v>0</v>
      </c>
      <c r="J752" s="169"/>
      <c r="K752" s="169"/>
      <c r="L752" s="49">
        <v>4000000</v>
      </c>
      <c r="M752" s="169"/>
      <c r="N752" s="407"/>
      <c r="O752" s="407"/>
      <c r="P752" s="407"/>
      <c r="Q752" s="407"/>
      <c r="R752" s="407"/>
      <c r="S752" s="407"/>
      <c r="T752" s="407"/>
      <c r="U752" s="407">
        <f>4000000-4000000</f>
        <v>0</v>
      </c>
      <c r="V752" s="407"/>
      <c r="W752" s="407"/>
      <c r="X752" s="407">
        <f>2060000-2060000</f>
        <v>0</v>
      </c>
      <c r="Y752" s="407">
        <f>1940000-1940000</f>
        <v>0</v>
      </c>
      <c r="Z752" s="407"/>
      <c r="AA752" s="407">
        <f t="shared" si="100"/>
        <v>0</v>
      </c>
      <c r="AC752" s="501"/>
      <c r="AD752" s="512"/>
      <c r="AE752" s="512"/>
      <c r="AF752" s="512"/>
      <c r="AG752" s="507"/>
      <c r="AH752" s="507"/>
    </row>
    <row r="753" spans="1:34" s="362" customFormat="1" ht="127.5">
      <c r="A753" s="563"/>
      <c r="B753" s="563"/>
      <c r="C753" s="266"/>
      <c r="D753" s="14" t="s">
        <v>1279</v>
      </c>
      <c r="E753" s="142"/>
      <c r="F753" s="143"/>
      <c r="G753" s="142"/>
      <c r="H753" s="417">
        <v>3110</v>
      </c>
      <c r="I753" s="144">
        <v>745470</v>
      </c>
      <c r="J753" s="144"/>
      <c r="K753" s="144"/>
      <c r="L753" s="49">
        <v>745470</v>
      </c>
      <c r="M753" s="144"/>
      <c r="N753" s="407"/>
      <c r="O753" s="407"/>
      <c r="P753" s="407"/>
      <c r="Q753" s="407"/>
      <c r="R753" s="407"/>
      <c r="S753" s="407"/>
      <c r="T753" s="407">
        <v>745470</v>
      </c>
      <c r="U753" s="407"/>
      <c r="V753" s="407"/>
      <c r="W753" s="407"/>
      <c r="X753" s="407"/>
      <c r="Y753" s="407"/>
      <c r="Z753" s="407"/>
      <c r="AA753" s="407">
        <f t="shared" si="100"/>
        <v>745470</v>
      </c>
      <c r="AC753" s="501"/>
      <c r="AD753" s="512">
        <v>745470</v>
      </c>
      <c r="AE753" s="512">
        <v>745470</v>
      </c>
      <c r="AF753" s="512"/>
      <c r="AG753" s="507"/>
      <c r="AH753" s="507" t="s">
        <v>1293</v>
      </c>
    </row>
    <row r="754" spans="1:62" s="28" customFormat="1" ht="15.75" customHeight="1">
      <c r="A754" s="578">
        <v>170703</v>
      </c>
      <c r="B754" s="578" t="s">
        <v>1946</v>
      </c>
      <c r="C754" s="270"/>
      <c r="D754" s="71" t="s">
        <v>1456</v>
      </c>
      <c r="E754" s="137"/>
      <c r="F754" s="138"/>
      <c r="G754" s="137"/>
      <c r="H754" s="416"/>
      <c r="I754" s="139">
        <f>SUM(I756:I756)+I755</f>
        <v>1244722</v>
      </c>
      <c r="J754" s="139">
        <f aca="true" t="shared" si="102" ref="J754:Z754">SUM(J756:J756)+J755</f>
        <v>0</v>
      </c>
      <c r="K754" s="139">
        <f t="shared" si="102"/>
        <v>0</v>
      </c>
      <c r="L754" s="139">
        <f t="shared" si="102"/>
        <v>1400000</v>
      </c>
      <c r="M754" s="139">
        <f t="shared" si="102"/>
        <v>0</v>
      </c>
      <c r="N754" s="139">
        <f t="shared" si="102"/>
        <v>0</v>
      </c>
      <c r="O754" s="139">
        <f t="shared" si="102"/>
        <v>0</v>
      </c>
      <c r="P754" s="139">
        <f t="shared" si="102"/>
        <v>0</v>
      </c>
      <c r="Q754" s="139">
        <f t="shared" si="102"/>
        <v>0</v>
      </c>
      <c r="R754" s="139">
        <f t="shared" si="102"/>
        <v>100000</v>
      </c>
      <c r="S754" s="139">
        <f t="shared" si="102"/>
        <v>500000</v>
      </c>
      <c r="T754" s="139">
        <f t="shared" si="102"/>
        <v>500000</v>
      </c>
      <c r="U754" s="139">
        <f t="shared" si="102"/>
        <v>-1100000</v>
      </c>
      <c r="V754" s="139">
        <f t="shared" si="102"/>
        <v>0</v>
      </c>
      <c r="W754" s="139">
        <f t="shared" si="102"/>
        <v>800000</v>
      </c>
      <c r="X754" s="139">
        <f t="shared" si="102"/>
        <v>444722</v>
      </c>
      <c r="Y754" s="139">
        <f t="shared" si="102"/>
        <v>0</v>
      </c>
      <c r="Z754" s="139">
        <f t="shared" si="102"/>
        <v>0</v>
      </c>
      <c r="AA754" s="407">
        <f t="shared" si="100"/>
        <v>1244722</v>
      </c>
      <c r="AB754" s="30"/>
      <c r="AC754" s="59"/>
      <c r="AD754" s="514"/>
      <c r="AE754" s="514"/>
      <c r="AF754" s="514"/>
      <c r="AG754" s="509"/>
      <c r="AH754" s="509"/>
      <c r="AI754" s="30"/>
      <c r="AJ754" s="30"/>
      <c r="AK754" s="30"/>
      <c r="AL754" s="30"/>
      <c r="AM754" s="30"/>
      <c r="AN754" s="30"/>
      <c r="AO754" s="30"/>
      <c r="AP754" s="30"/>
      <c r="AQ754" s="30"/>
      <c r="AR754" s="30"/>
      <c r="AS754" s="30"/>
      <c r="AT754" s="30"/>
      <c r="AU754" s="30"/>
      <c r="AV754" s="30"/>
      <c r="AW754" s="30"/>
      <c r="AX754" s="30"/>
      <c r="AY754" s="30"/>
      <c r="AZ754" s="30"/>
      <c r="BA754" s="30"/>
      <c r="BB754" s="30"/>
      <c r="BC754" s="30"/>
      <c r="BD754" s="30"/>
      <c r="BE754" s="30"/>
      <c r="BF754" s="30"/>
      <c r="BG754" s="30"/>
      <c r="BH754" s="30"/>
      <c r="BI754" s="30"/>
      <c r="BJ754" s="30"/>
    </row>
    <row r="755" spans="1:62" s="28" customFormat="1" ht="15.75" customHeight="1">
      <c r="A755" s="579"/>
      <c r="B755" s="579"/>
      <c r="C755" s="270"/>
      <c r="D755" s="14" t="s">
        <v>350</v>
      </c>
      <c r="E755" s="172"/>
      <c r="F755" s="229"/>
      <c r="G755" s="172"/>
      <c r="H755" s="417">
        <v>3132</v>
      </c>
      <c r="I755" s="144">
        <f>800000-400000+844722</f>
        <v>1244722</v>
      </c>
      <c r="J755" s="144"/>
      <c r="K755" s="144"/>
      <c r="L755" s="144"/>
      <c r="M755" s="144"/>
      <c r="N755" s="144"/>
      <c r="O755" s="144"/>
      <c r="P755" s="144"/>
      <c r="Q755" s="144"/>
      <c r="R755" s="144"/>
      <c r="S755" s="144"/>
      <c r="T755" s="144"/>
      <c r="U755" s="144"/>
      <c r="V755" s="144"/>
      <c r="W755" s="144">
        <v>800000</v>
      </c>
      <c r="X755" s="144">
        <f>-400000+844722</f>
        <v>444722</v>
      </c>
      <c r="Y755" s="144"/>
      <c r="Z755" s="144"/>
      <c r="AA755" s="407">
        <f t="shared" si="100"/>
        <v>1244722</v>
      </c>
      <c r="AB755" s="30"/>
      <c r="AC755" s="59"/>
      <c r="AD755" s="514"/>
      <c r="AE755" s="514"/>
      <c r="AF755" s="514"/>
      <c r="AG755" s="509"/>
      <c r="AH755" s="509"/>
      <c r="AI755" s="30"/>
      <c r="AJ755" s="30"/>
      <c r="AK755" s="30"/>
      <c r="AL755" s="30"/>
      <c r="AM755" s="30"/>
      <c r="AN755" s="30"/>
      <c r="AO755" s="30"/>
      <c r="AP755" s="30"/>
      <c r="AQ755" s="30"/>
      <c r="AR755" s="30"/>
      <c r="AS755" s="30"/>
      <c r="AT755" s="30"/>
      <c r="AU755" s="30"/>
      <c r="AV755" s="30"/>
      <c r="AW755" s="30"/>
      <c r="AX755" s="30"/>
      <c r="AY755" s="30"/>
      <c r="AZ755" s="30"/>
      <c r="BA755" s="30"/>
      <c r="BB755" s="30"/>
      <c r="BC755" s="30"/>
      <c r="BD755" s="30"/>
      <c r="BE755" s="30"/>
      <c r="BF755" s="30"/>
      <c r="BG755" s="30"/>
      <c r="BH755" s="30"/>
      <c r="BI755" s="30"/>
      <c r="BJ755" s="30"/>
    </row>
    <row r="756" spans="1:34" s="45" customFormat="1" ht="31.5" hidden="1">
      <c r="A756" s="579"/>
      <c r="B756" s="579"/>
      <c r="C756" s="266"/>
      <c r="D756" s="14" t="s">
        <v>94</v>
      </c>
      <c r="E756" s="142"/>
      <c r="F756" s="143"/>
      <c r="G756" s="142"/>
      <c r="H756" s="417">
        <v>3142</v>
      </c>
      <c r="I756" s="144">
        <f>1400000-1273546-126454</f>
        <v>0</v>
      </c>
      <c r="J756" s="144"/>
      <c r="K756" s="144"/>
      <c r="L756" s="372">
        <v>1400000</v>
      </c>
      <c r="M756" s="144"/>
      <c r="N756" s="407"/>
      <c r="O756" s="407"/>
      <c r="P756" s="407"/>
      <c r="Q756" s="407"/>
      <c r="R756" s="407">
        <v>100000</v>
      </c>
      <c r="S756" s="407">
        <v>500000</v>
      </c>
      <c r="T756" s="407">
        <v>500000</v>
      </c>
      <c r="U756" s="407">
        <f>300000-1273546-126454</f>
        <v>-1100000</v>
      </c>
      <c r="V756" s="407"/>
      <c r="W756" s="407"/>
      <c r="X756" s="407"/>
      <c r="Y756" s="407"/>
      <c r="Z756" s="407"/>
      <c r="AA756" s="407">
        <f t="shared" si="100"/>
        <v>0</v>
      </c>
      <c r="AC756" s="499"/>
      <c r="AD756" s="512"/>
      <c r="AE756" s="512"/>
      <c r="AF756" s="512"/>
      <c r="AG756" s="507"/>
      <c r="AH756" s="507"/>
    </row>
    <row r="757" spans="1:62" s="28" customFormat="1" ht="15.75" customHeight="1">
      <c r="A757" s="605">
        <v>180409</v>
      </c>
      <c r="B757" s="605" t="s">
        <v>753</v>
      </c>
      <c r="C757" s="195"/>
      <c r="D757" s="216"/>
      <c r="E757" s="158"/>
      <c r="F757" s="159"/>
      <c r="G757" s="158"/>
      <c r="H757" s="419"/>
      <c r="I757" s="139">
        <f aca="true" t="shared" si="103" ref="I757:N757">I758+I768+I770+I774+I792+I826+I830+I832</f>
        <v>21502301.58</v>
      </c>
      <c r="J757" s="139">
        <f t="shared" si="103"/>
        <v>0</v>
      </c>
      <c r="K757" s="139">
        <f t="shared" si="103"/>
        <v>0</v>
      </c>
      <c r="L757" s="139">
        <f t="shared" si="103"/>
        <v>13689058.33</v>
      </c>
      <c r="M757" s="139">
        <f t="shared" si="103"/>
        <v>3252248.69</v>
      </c>
      <c r="N757" s="139">
        <f t="shared" si="103"/>
        <v>0</v>
      </c>
      <c r="O757" s="139">
        <f aca="true" t="shared" si="104" ref="O757:Z757">O758+O768+O770+O774+O792+O826+O830+O832</f>
        <v>0</v>
      </c>
      <c r="P757" s="139">
        <f t="shared" si="104"/>
        <v>0</v>
      </c>
      <c r="Q757" s="139">
        <f t="shared" si="104"/>
        <v>0</v>
      </c>
      <c r="R757" s="139">
        <f t="shared" si="104"/>
        <v>7729052.02</v>
      </c>
      <c r="S757" s="139">
        <f t="shared" si="104"/>
        <v>2288531</v>
      </c>
      <c r="T757" s="139">
        <f t="shared" si="104"/>
        <v>2646929</v>
      </c>
      <c r="U757" s="139">
        <f t="shared" si="104"/>
        <v>3020219.8</v>
      </c>
      <c r="V757" s="139">
        <f t="shared" si="104"/>
        <v>648811.99</v>
      </c>
      <c r="W757" s="139">
        <f t="shared" si="104"/>
        <v>4635990.77</v>
      </c>
      <c r="X757" s="139">
        <f t="shared" si="104"/>
        <v>138052</v>
      </c>
      <c r="Y757" s="139">
        <f t="shared" si="104"/>
        <v>394715</v>
      </c>
      <c r="Z757" s="139">
        <f t="shared" si="104"/>
        <v>8823718.09</v>
      </c>
      <c r="AA757" s="407">
        <f t="shared" si="100"/>
        <v>12283868.49</v>
      </c>
      <c r="AB757" s="30"/>
      <c r="AC757" s="59"/>
      <c r="AD757" s="514"/>
      <c r="AE757" s="514"/>
      <c r="AF757" s="514"/>
      <c r="AG757" s="509"/>
      <c r="AH757" s="509"/>
      <c r="AI757" s="30"/>
      <c r="AJ757" s="30"/>
      <c r="AK757" s="30"/>
      <c r="AL757" s="30"/>
      <c r="AM757" s="30"/>
      <c r="AN757" s="30"/>
      <c r="AO757" s="30"/>
      <c r="AP757" s="30"/>
      <c r="AQ757" s="30"/>
      <c r="AR757" s="30"/>
      <c r="AS757" s="30"/>
      <c r="AT757" s="30"/>
      <c r="AU757" s="30"/>
      <c r="AV757" s="30"/>
      <c r="AW757" s="30"/>
      <c r="AX757" s="30"/>
      <c r="AY757" s="30"/>
      <c r="AZ757" s="30"/>
      <c r="BA757" s="30"/>
      <c r="BB757" s="30"/>
      <c r="BC757" s="30"/>
      <c r="BD757" s="30"/>
      <c r="BE757" s="30"/>
      <c r="BF757" s="30"/>
      <c r="BG757" s="30"/>
      <c r="BH757" s="30"/>
      <c r="BI757" s="30"/>
      <c r="BJ757" s="30"/>
    </row>
    <row r="758" spans="1:34" s="30" customFormat="1" ht="18.75" customHeight="1">
      <c r="A758" s="607"/>
      <c r="B758" s="607"/>
      <c r="C758" s="135"/>
      <c r="D758" s="225" t="s">
        <v>981</v>
      </c>
      <c r="E758" s="142"/>
      <c r="F758" s="143"/>
      <c r="G758" s="142"/>
      <c r="H758" s="417"/>
      <c r="I758" s="169">
        <f>SUM(I759:I767)</f>
        <v>14134226.27</v>
      </c>
      <c r="J758" s="169">
        <f>SUM(J759:J767)</f>
        <v>0</v>
      </c>
      <c r="K758" s="169">
        <f>SUM(K759:K767)</f>
        <v>0</v>
      </c>
      <c r="L758" s="169">
        <f>SUM(L759:L767)</f>
        <v>8325129.58</v>
      </c>
      <c r="M758" s="169">
        <f>SUM(M759:M767)</f>
        <v>411612.69</v>
      </c>
      <c r="N758" s="169">
        <f aca="true" t="shared" si="105" ref="N758:Z758">SUM(N759:N767)</f>
        <v>0</v>
      </c>
      <c r="O758" s="169">
        <f t="shared" si="105"/>
        <v>0</v>
      </c>
      <c r="P758" s="169">
        <f t="shared" si="105"/>
        <v>0</v>
      </c>
      <c r="Q758" s="169">
        <f t="shared" si="105"/>
        <v>0</v>
      </c>
      <c r="R758" s="169">
        <f t="shared" si="105"/>
        <v>6408842.27</v>
      </c>
      <c r="S758" s="169">
        <f t="shared" si="105"/>
        <v>70000</v>
      </c>
      <c r="T758" s="169">
        <f t="shared" si="105"/>
        <v>479300</v>
      </c>
      <c r="U758" s="169">
        <f t="shared" si="105"/>
        <v>2307943.24</v>
      </c>
      <c r="V758" s="169">
        <f t="shared" si="105"/>
        <v>959811.99</v>
      </c>
      <c r="W758" s="169">
        <f t="shared" si="105"/>
        <v>3908328.77</v>
      </c>
      <c r="X758" s="169">
        <f t="shared" si="105"/>
        <v>0</v>
      </c>
      <c r="Y758" s="169">
        <f t="shared" si="105"/>
        <v>0</v>
      </c>
      <c r="Z758" s="169">
        <f t="shared" si="105"/>
        <v>6358842.27</v>
      </c>
      <c r="AA758" s="407">
        <f t="shared" si="100"/>
        <v>7775384</v>
      </c>
      <c r="AC758" s="59"/>
      <c r="AD758" s="514"/>
      <c r="AE758" s="514"/>
      <c r="AF758" s="514"/>
      <c r="AG758" s="509"/>
      <c r="AH758" s="509"/>
    </row>
    <row r="759" spans="1:34" s="369" customFormat="1" ht="31.5">
      <c r="A759" s="607"/>
      <c r="B759" s="607"/>
      <c r="C759" s="135" t="s">
        <v>982</v>
      </c>
      <c r="D759" s="378" t="s">
        <v>95</v>
      </c>
      <c r="E759" s="142">
        <v>2000</v>
      </c>
      <c r="F759" s="143">
        <f>100%-((E759-G759)/E759)</f>
        <v>1</v>
      </c>
      <c r="G759" s="142">
        <v>2000</v>
      </c>
      <c r="H759" s="417">
        <v>3210</v>
      </c>
      <c r="I759" s="144">
        <v>1707863.76</v>
      </c>
      <c r="J759" s="144"/>
      <c r="K759" s="169"/>
      <c r="L759" s="49">
        <v>1707863.76</v>
      </c>
      <c r="M759" s="169"/>
      <c r="N759" s="407"/>
      <c r="O759" s="439"/>
      <c r="P759" s="439"/>
      <c r="Q759" s="439"/>
      <c r="R759" s="439">
        <v>1707863.76</v>
      </c>
      <c r="S759" s="439"/>
      <c r="T759" s="439"/>
      <c r="U759" s="439"/>
      <c r="V759" s="439"/>
      <c r="W759" s="439"/>
      <c r="X759" s="439"/>
      <c r="Y759" s="439"/>
      <c r="Z759" s="439">
        <v>1707863.76</v>
      </c>
      <c r="AA759" s="407">
        <f t="shared" si="100"/>
        <v>0</v>
      </c>
      <c r="AC759" s="503"/>
      <c r="AD759" s="514">
        <v>1707863.76</v>
      </c>
      <c r="AE759" s="694" t="s">
        <v>1294</v>
      </c>
      <c r="AF759" s="695"/>
      <c r="AG759" s="695"/>
      <c r="AH759" s="696"/>
    </row>
    <row r="760" spans="1:34" s="369" customFormat="1" ht="76.5">
      <c r="A760" s="607"/>
      <c r="B760" s="607"/>
      <c r="C760" s="135" t="s">
        <v>1834</v>
      </c>
      <c r="D760" s="75" t="s">
        <v>96</v>
      </c>
      <c r="E760" s="142">
        <v>4500</v>
      </c>
      <c r="F760" s="143">
        <f>100%-((E760-G760)/E760)</f>
        <v>1</v>
      </c>
      <c r="G760" s="142">
        <v>4500</v>
      </c>
      <c r="H760" s="417">
        <v>3210</v>
      </c>
      <c r="I760" s="144">
        <f>2037900-130000-682516</f>
        <v>1225384</v>
      </c>
      <c r="J760" s="144"/>
      <c r="K760" s="169"/>
      <c r="L760" s="49">
        <v>2037900</v>
      </c>
      <c r="M760" s="169"/>
      <c r="N760" s="407"/>
      <c r="O760" s="439"/>
      <c r="P760" s="439"/>
      <c r="Q760" s="439"/>
      <c r="R760" s="439"/>
      <c r="S760" s="439">
        <f>200000-130000</f>
        <v>70000</v>
      </c>
      <c r="T760" s="439">
        <v>479300</v>
      </c>
      <c r="U760" s="439">
        <f>679300-682516</f>
        <v>-3216</v>
      </c>
      <c r="V760" s="439">
        <v>679300</v>
      </c>
      <c r="W760" s="439"/>
      <c r="X760" s="439"/>
      <c r="Y760" s="439"/>
      <c r="Z760" s="439"/>
      <c r="AA760" s="407">
        <f t="shared" si="100"/>
        <v>1225384</v>
      </c>
      <c r="AC760" s="503"/>
      <c r="AD760" s="514">
        <v>1225384</v>
      </c>
      <c r="AE760" s="512"/>
      <c r="AF760" s="514"/>
      <c r="AG760" s="507" t="s">
        <v>1295</v>
      </c>
      <c r="AH760" s="507" t="s">
        <v>1296</v>
      </c>
    </row>
    <row r="761" spans="1:34" s="369" customFormat="1" ht="15.75" hidden="1">
      <c r="A761" s="607"/>
      <c r="B761" s="607"/>
      <c r="C761" s="135"/>
      <c r="D761" s="75" t="s">
        <v>97</v>
      </c>
      <c r="E761" s="142">
        <v>538.478</v>
      </c>
      <c r="F761" s="143">
        <f>100%-((E761-G761)/E761)</f>
        <v>1</v>
      </c>
      <c r="G761" s="142">
        <v>538.487</v>
      </c>
      <c r="H761" s="417">
        <v>3210</v>
      </c>
      <c r="I761" s="144">
        <f>290000-290000</f>
        <v>0</v>
      </c>
      <c r="J761" s="144"/>
      <c r="K761" s="169"/>
      <c r="L761" s="49">
        <v>290000</v>
      </c>
      <c r="M761" s="169"/>
      <c r="N761" s="407"/>
      <c r="O761" s="439"/>
      <c r="P761" s="439"/>
      <c r="Q761" s="439"/>
      <c r="R761" s="439"/>
      <c r="S761" s="439"/>
      <c r="T761" s="439"/>
      <c r="U761" s="439">
        <f>290000-290000</f>
        <v>0</v>
      </c>
      <c r="V761" s="439"/>
      <c r="W761" s="439"/>
      <c r="X761" s="439"/>
      <c r="Y761" s="439"/>
      <c r="Z761" s="439"/>
      <c r="AA761" s="407">
        <f t="shared" si="100"/>
        <v>0</v>
      </c>
      <c r="AC761" s="503"/>
      <c r="AD761" s="514"/>
      <c r="AE761" s="514"/>
      <c r="AF761" s="514"/>
      <c r="AG761" s="509"/>
      <c r="AH761" s="509"/>
    </row>
    <row r="762" spans="1:34" s="369" customFormat="1" ht="38.25">
      <c r="A762" s="607"/>
      <c r="B762" s="607"/>
      <c r="C762" s="135"/>
      <c r="D762" s="75" t="s">
        <v>249</v>
      </c>
      <c r="E762" s="142"/>
      <c r="F762" s="143"/>
      <c r="G762" s="142"/>
      <c r="H762" s="417">
        <v>3210</v>
      </c>
      <c r="I762" s="144">
        <v>6500000</v>
      </c>
      <c r="J762" s="144"/>
      <c r="K762" s="169"/>
      <c r="L762" s="49"/>
      <c r="M762" s="169"/>
      <c r="N762" s="407"/>
      <c r="O762" s="439"/>
      <c r="P762" s="439"/>
      <c r="Q762" s="439"/>
      <c r="R762" s="439"/>
      <c r="S762" s="439"/>
      <c r="T762" s="439"/>
      <c r="U762" s="439">
        <v>2311159.24</v>
      </c>
      <c r="V762" s="439">
        <v>280511.99</v>
      </c>
      <c r="W762" s="439">
        <v>3908328.77</v>
      </c>
      <c r="X762" s="439"/>
      <c r="Y762" s="439"/>
      <c r="Z762" s="439"/>
      <c r="AA762" s="407">
        <f t="shared" si="100"/>
        <v>6500000</v>
      </c>
      <c r="AC762" s="503"/>
      <c r="AD762" s="512">
        <v>6500</v>
      </c>
      <c r="AE762" s="512"/>
      <c r="AF762" s="512"/>
      <c r="AG762" s="507"/>
      <c r="AH762" s="507" t="s">
        <v>1297</v>
      </c>
    </row>
    <row r="763" spans="1:34" s="369" customFormat="1" ht="47.25">
      <c r="A763" s="607"/>
      <c r="B763" s="607"/>
      <c r="C763" s="135"/>
      <c r="D763" s="75" t="s">
        <v>45</v>
      </c>
      <c r="E763" s="142">
        <v>97.516</v>
      </c>
      <c r="F763" s="143">
        <f>100%-((E763-G763)/E763)</f>
        <v>1</v>
      </c>
      <c r="G763" s="142">
        <v>97.516</v>
      </c>
      <c r="H763" s="417">
        <v>3210</v>
      </c>
      <c r="I763" s="144">
        <v>3478529.23</v>
      </c>
      <c r="J763" s="144"/>
      <c r="K763" s="169"/>
      <c r="L763" s="49">
        <v>3478529.23</v>
      </c>
      <c r="M763" s="169"/>
      <c r="N763" s="407"/>
      <c r="O763" s="439"/>
      <c r="P763" s="439"/>
      <c r="Q763" s="439"/>
      <c r="R763" s="439">
        <v>3478529.23</v>
      </c>
      <c r="S763" s="439"/>
      <c r="T763" s="439"/>
      <c r="U763" s="439"/>
      <c r="V763" s="439"/>
      <c r="W763" s="439"/>
      <c r="X763" s="439"/>
      <c r="Y763" s="439"/>
      <c r="Z763" s="407">
        <v>3428529.23</v>
      </c>
      <c r="AA763" s="407">
        <f t="shared" si="100"/>
        <v>50000</v>
      </c>
      <c r="AC763" s="503"/>
      <c r="AD763" s="512">
        <v>3478529.23</v>
      </c>
      <c r="AE763" s="689" t="s">
        <v>1294</v>
      </c>
      <c r="AF763" s="690"/>
      <c r="AG763" s="690"/>
      <c r="AH763" s="691"/>
    </row>
    <row r="764" spans="1:34" s="369" customFormat="1" ht="31.5">
      <c r="A764" s="607"/>
      <c r="B764" s="607"/>
      <c r="C764" s="135"/>
      <c r="D764" s="75" t="s">
        <v>46</v>
      </c>
      <c r="E764" s="142"/>
      <c r="F764" s="143"/>
      <c r="G764" s="142"/>
      <c r="H764" s="417">
        <v>3210</v>
      </c>
      <c r="I764" s="144">
        <v>92347.2</v>
      </c>
      <c r="J764" s="144"/>
      <c r="K764" s="169"/>
      <c r="L764" s="49">
        <v>92347.2</v>
      </c>
      <c r="M764" s="169"/>
      <c r="N764" s="407"/>
      <c r="O764" s="439"/>
      <c r="P764" s="439"/>
      <c r="Q764" s="439"/>
      <c r="R764" s="49">
        <v>92347.2</v>
      </c>
      <c r="S764" s="439"/>
      <c r="T764" s="439"/>
      <c r="U764" s="439"/>
      <c r="V764" s="439"/>
      <c r="W764" s="439"/>
      <c r="X764" s="439"/>
      <c r="Y764" s="439"/>
      <c r="Z764" s="407">
        <v>92347.2</v>
      </c>
      <c r="AA764" s="407">
        <f t="shared" si="100"/>
        <v>0</v>
      </c>
      <c r="AC764" s="503"/>
      <c r="AD764" s="512">
        <v>92347.2</v>
      </c>
      <c r="AE764" s="689" t="s">
        <v>1294</v>
      </c>
      <c r="AF764" s="690"/>
      <c r="AG764" s="690"/>
      <c r="AH764" s="691"/>
    </row>
    <row r="765" spans="1:34" s="369" customFormat="1" ht="31.5">
      <c r="A765" s="607"/>
      <c r="B765" s="607"/>
      <c r="C765" s="135"/>
      <c r="D765" s="75" t="s">
        <v>1333</v>
      </c>
      <c r="E765" s="142"/>
      <c r="F765" s="143"/>
      <c r="G765" s="142"/>
      <c r="H765" s="417">
        <v>3210</v>
      </c>
      <c r="I765" s="144">
        <v>538446.36</v>
      </c>
      <c r="J765" s="144"/>
      <c r="K765" s="169"/>
      <c r="L765" s="49">
        <v>538446.36</v>
      </c>
      <c r="M765" s="169"/>
      <c r="N765" s="407"/>
      <c r="O765" s="439"/>
      <c r="P765" s="439"/>
      <c r="Q765" s="439"/>
      <c r="R765" s="49">
        <v>538446.36</v>
      </c>
      <c r="S765" s="439"/>
      <c r="T765" s="439"/>
      <c r="U765" s="439"/>
      <c r="V765" s="439"/>
      <c r="W765" s="439"/>
      <c r="X765" s="439"/>
      <c r="Y765" s="439"/>
      <c r="Z765" s="407">
        <v>538446.36</v>
      </c>
      <c r="AA765" s="407">
        <f t="shared" si="100"/>
        <v>0</v>
      </c>
      <c r="AC765" s="503"/>
      <c r="AD765" s="512">
        <v>538446.36</v>
      </c>
      <c r="AE765" s="689" t="s">
        <v>1294</v>
      </c>
      <c r="AF765" s="690"/>
      <c r="AG765" s="690"/>
      <c r="AH765" s="691"/>
    </row>
    <row r="766" spans="1:34" s="369" customFormat="1" ht="126">
      <c r="A766" s="607"/>
      <c r="B766" s="607"/>
      <c r="C766" s="135"/>
      <c r="D766" s="75" t="s">
        <v>26</v>
      </c>
      <c r="E766" s="142"/>
      <c r="F766" s="143"/>
      <c r="G766" s="142"/>
      <c r="H766" s="417">
        <v>3210</v>
      </c>
      <c r="I766" s="144">
        <v>411612.69</v>
      </c>
      <c r="J766" s="144"/>
      <c r="K766" s="169"/>
      <c r="L766" s="49"/>
      <c r="M766" s="49">
        <v>411612.69</v>
      </c>
      <c r="N766" s="407"/>
      <c r="O766" s="439"/>
      <c r="P766" s="439"/>
      <c r="Q766" s="439"/>
      <c r="R766" s="439">
        <v>411612.69</v>
      </c>
      <c r="S766" s="439"/>
      <c r="T766" s="439"/>
      <c r="U766" s="439"/>
      <c r="V766" s="439"/>
      <c r="W766" s="439"/>
      <c r="X766" s="439"/>
      <c r="Y766" s="439"/>
      <c r="Z766" s="407">
        <v>411612.69</v>
      </c>
      <c r="AA766" s="407">
        <f t="shared" si="100"/>
        <v>0</v>
      </c>
      <c r="AC766" s="503"/>
      <c r="AD766" s="512">
        <v>411612.69</v>
      </c>
      <c r="AE766" s="689" t="s">
        <v>1294</v>
      </c>
      <c r="AF766" s="690"/>
      <c r="AG766" s="690"/>
      <c r="AH766" s="691"/>
    </row>
    <row r="767" spans="1:34" s="369" customFormat="1" ht="31.5">
      <c r="A767" s="607"/>
      <c r="B767" s="607"/>
      <c r="C767" s="135"/>
      <c r="D767" s="75" t="s">
        <v>822</v>
      </c>
      <c r="E767" s="142"/>
      <c r="F767" s="143"/>
      <c r="G767" s="142"/>
      <c r="H767" s="417">
        <v>3210</v>
      </c>
      <c r="I767" s="144">
        <v>180043.03</v>
      </c>
      <c r="J767" s="144"/>
      <c r="K767" s="169"/>
      <c r="L767" s="49">
        <v>180043.03</v>
      </c>
      <c r="M767" s="169"/>
      <c r="N767" s="407"/>
      <c r="O767" s="439"/>
      <c r="P767" s="439"/>
      <c r="Q767" s="439"/>
      <c r="R767" s="49">
        <v>180043.03</v>
      </c>
      <c r="S767" s="439"/>
      <c r="T767" s="439"/>
      <c r="U767" s="439"/>
      <c r="V767" s="439"/>
      <c r="W767" s="439"/>
      <c r="X767" s="439"/>
      <c r="Y767" s="439"/>
      <c r="Z767" s="407">
        <v>180043.03</v>
      </c>
      <c r="AA767" s="407">
        <f t="shared" si="100"/>
        <v>0</v>
      </c>
      <c r="AC767" s="503"/>
      <c r="AD767" s="512">
        <v>180043.03</v>
      </c>
      <c r="AE767" s="689" t="s">
        <v>1294</v>
      </c>
      <c r="AF767" s="690"/>
      <c r="AG767" s="690"/>
      <c r="AH767" s="691"/>
    </row>
    <row r="768" spans="1:34" s="30" customFormat="1" ht="15.75">
      <c r="A768" s="607"/>
      <c r="B768" s="607"/>
      <c r="C768" s="135"/>
      <c r="D768" s="272" t="s">
        <v>19</v>
      </c>
      <c r="E768" s="142"/>
      <c r="F768" s="143"/>
      <c r="G768" s="142"/>
      <c r="H768" s="417"/>
      <c r="I768" s="169">
        <f>I769</f>
        <v>300000</v>
      </c>
      <c r="J768" s="169">
        <f>J769</f>
        <v>0</v>
      </c>
      <c r="K768" s="169">
        <f>K769</f>
        <v>0</v>
      </c>
      <c r="L768" s="169">
        <f>L769</f>
        <v>300000</v>
      </c>
      <c r="M768" s="169">
        <f>M769</f>
        <v>0</v>
      </c>
      <c r="N768" s="169">
        <f aca="true" t="shared" si="106" ref="N768:Z768">N769</f>
        <v>0</v>
      </c>
      <c r="O768" s="169">
        <f t="shared" si="106"/>
        <v>0</v>
      </c>
      <c r="P768" s="169">
        <f t="shared" si="106"/>
        <v>0</v>
      </c>
      <c r="Q768" s="169">
        <f t="shared" si="106"/>
        <v>0</v>
      </c>
      <c r="R768" s="169">
        <f t="shared" si="106"/>
        <v>0</v>
      </c>
      <c r="S768" s="169">
        <f t="shared" si="106"/>
        <v>0</v>
      </c>
      <c r="T768" s="169">
        <f t="shared" si="106"/>
        <v>12000</v>
      </c>
      <c r="U768" s="169">
        <f t="shared" si="106"/>
        <v>28000</v>
      </c>
      <c r="V768" s="169">
        <f t="shared" si="106"/>
        <v>30000</v>
      </c>
      <c r="W768" s="169">
        <f t="shared" si="106"/>
        <v>95000</v>
      </c>
      <c r="X768" s="169">
        <f t="shared" si="106"/>
        <v>135000</v>
      </c>
      <c r="Y768" s="169">
        <f t="shared" si="106"/>
        <v>0</v>
      </c>
      <c r="Z768" s="169">
        <f t="shared" si="106"/>
        <v>11077.52</v>
      </c>
      <c r="AA768" s="407">
        <f t="shared" si="100"/>
        <v>288922.48</v>
      </c>
      <c r="AC768" s="59"/>
      <c r="AD768" s="512"/>
      <c r="AE768" s="512"/>
      <c r="AF768" s="512"/>
      <c r="AG768" s="507"/>
      <c r="AH768" s="507"/>
    </row>
    <row r="769" spans="1:34" s="30" customFormat="1" ht="63.75">
      <c r="A769" s="607"/>
      <c r="B769" s="607"/>
      <c r="C769" s="135"/>
      <c r="D769" s="276" t="s">
        <v>823</v>
      </c>
      <c r="E769" s="142"/>
      <c r="F769" s="143"/>
      <c r="G769" s="142"/>
      <c r="H769" s="417">
        <v>3210</v>
      </c>
      <c r="I769" s="144">
        <v>300000</v>
      </c>
      <c r="J769" s="144"/>
      <c r="K769" s="169"/>
      <c r="L769" s="144">
        <v>300000</v>
      </c>
      <c r="M769" s="169"/>
      <c r="N769" s="407"/>
      <c r="O769" s="439"/>
      <c r="P769" s="439"/>
      <c r="Q769" s="439"/>
      <c r="R769" s="439"/>
      <c r="S769" s="439"/>
      <c r="T769" s="439">
        <v>12000</v>
      </c>
      <c r="U769" s="439">
        <v>28000</v>
      </c>
      <c r="V769" s="439">
        <v>30000</v>
      </c>
      <c r="W769" s="439">
        <f>300000-300000+95000</f>
        <v>95000</v>
      </c>
      <c r="X769" s="439">
        <f>300000-165000</f>
        <v>135000</v>
      </c>
      <c r="Y769" s="439"/>
      <c r="Z769" s="407">
        <v>11077.52</v>
      </c>
      <c r="AA769" s="407">
        <f t="shared" si="100"/>
        <v>288922.48</v>
      </c>
      <c r="AC769" s="59"/>
      <c r="AD769" s="512">
        <v>300000</v>
      </c>
      <c r="AE769" s="512">
        <v>300000</v>
      </c>
      <c r="AF769" s="512"/>
      <c r="AG769" s="507" t="s">
        <v>1298</v>
      </c>
      <c r="AH769" s="507"/>
    </row>
    <row r="770" spans="1:34" s="30" customFormat="1" ht="31.5">
      <c r="A770" s="607"/>
      <c r="B770" s="607"/>
      <c r="C770" s="274" t="s">
        <v>1680</v>
      </c>
      <c r="D770" s="73" t="s">
        <v>1681</v>
      </c>
      <c r="E770" s="142"/>
      <c r="F770" s="143"/>
      <c r="G770" s="142"/>
      <c r="H770" s="417"/>
      <c r="I770" s="74">
        <f>SUM(I771:I773)</f>
        <v>320000</v>
      </c>
      <c r="J770" s="74">
        <f>SUM(J771:J773)</f>
        <v>0</v>
      </c>
      <c r="K770" s="74">
        <f>SUM(K771:K773)</f>
        <v>0</v>
      </c>
      <c r="L770" s="74">
        <f>SUM(L771:L773)</f>
        <v>0</v>
      </c>
      <c r="M770" s="74">
        <f>SUM(M771:M773)</f>
        <v>408500</v>
      </c>
      <c r="N770" s="74">
        <f aca="true" t="shared" si="107" ref="N770:Z770">SUM(N771:N773)</f>
        <v>0</v>
      </c>
      <c r="O770" s="74">
        <f t="shared" si="107"/>
        <v>0</v>
      </c>
      <c r="P770" s="74">
        <f t="shared" si="107"/>
        <v>0</v>
      </c>
      <c r="Q770" s="74">
        <f t="shared" si="107"/>
        <v>0</v>
      </c>
      <c r="R770" s="74">
        <f t="shared" si="107"/>
        <v>248500</v>
      </c>
      <c r="S770" s="74">
        <f t="shared" si="107"/>
        <v>160000</v>
      </c>
      <c r="T770" s="74">
        <f t="shared" si="107"/>
        <v>0</v>
      </c>
      <c r="U770" s="74">
        <f t="shared" si="107"/>
        <v>-88500</v>
      </c>
      <c r="V770" s="74">
        <f t="shared" si="107"/>
        <v>0</v>
      </c>
      <c r="W770" s="74">
        <f t="shared" si="107"/>
        <v>0</v>
      </c>
      <c r="X770" s="74">
        <f t="shared" si="107"/>
        <v>0</v>
      </c>
      <c r="Y770" s="74">
        <f t="shared" si="107"/>
        <v>0</v>
      </c>
      <c r="Z770" s="74">
        <f t="shared" si="107"/>
        <v>0</v>
      </c>
      <c r="AA770" s="407">
        <f t="shared" si="100"/>
        <v>320000</v>
      </c>
      <c r="AC770" s="59"/>
      <c r="AD770" s="512"/>
      <c r="AE770" s="512"/>
      <c r="AF770" s="512"/>
      <c r="AG770" s="507"/>
      <c r="AH770" s="507"/>
    </row>
    <row r="771" spans="1:34" s="369" customFormat="1" ht="15.75" hidden="1">
      <c r="A771" s="607"/>
      <c r="B771" s="607"/>
      <c r="C771" s="274"/>
      <c r="D771" s="75" t="s">
        <v>824</v>
      </c>
      <c r="E771" s="142">
        <v>98.78</v>
      </c>
      <c r="F771" s="143">
        <f>100%-((E771-G771)/E771)</f>
        <v>1</v>
      </c>
      <c r="G771" s="142">
        <v>98.78</v>
      </c>
      <c r="H771" s="417">
        <v>3210</v>
      </c>
      <c r="I771" s="144">
        <f>56000-56000</f>
        <v>0</v>
      </c>
      <c r="J771" s="76"/>
      <c r="K771" s="76"/>
      <c r="L771" s="49"/>
      <c r="M771" s="49">
        <v>56000</v>
      </c>
      <c r="N771" s="439"/>
      <c r="O771" s="439"/>
      <c r="P771" s="439"/>
      <c r="Q771" s="439"/>
      <c r="R771" s="439">
        <v>56000</v>
      </c>
      <c r="S771" s="439"/>
      <c r="T771" s="439"/>
      <c r="U771" s="439">
        <v>-56000</v>
      </c>
      <c r="V771" s="439"/>
      <c r="W771" s="439"/>
      <c r="X771" s="439"/>
      <c r="Y771" s="439"/>
      <c r="Z771" s="439"/>
      <c r="AA771" s="407">
        <f t="shared" si="100"/>
        <v>0</v>
      </c>
      <c r="AC771" s="503"/>
      <c r="AD771" s="512"/>
      <c r="AE771" s="512"/>
      <c r="AF771" s="512"/>
      <c r="AG771" s="507"/>
      <c r="AH771" s="507"/>
    </row>
    <row r="772" spans="1:34" s="369" customFormat="1" ht="63.75">
      <c r="A772" s="607"/>
      <c r="B772" s="607"/>
      <c r="C772" s="274"/>
      <c r="D772" s="75" t="s">
        <v>1727</v>
      </c>
      <c r="E772" s="142"/>
      <c r="F772" s="143"/>
      <c r="G772" s="142"/>
      <c r="H772" s="417">
        <v>3210</v>
      </c>
      <c r="I772" s="144">
        <v>320000</v>
      </c>
      <c r="J772" s="76"/>
      <c r="K772" s="76"/>
      <c r="L772" s="49"/>
      <c r="M772" s="49">
        <v>320000</v>
      </c>
      <c r="N772" s="439"/>
      <c r="O772" s="439"/>
      <c r="P772" s="439"/>
      <c r="Q772" s="439"/>
      <c r="R772" s="439">
        <v>160000</v>
      </c>
      <c r="S772" s="439">
        <v>160000</v>
      </c>
      <c r="T772" s="439"/>
      <c r="U772" s="439"/>
      <c r="V772" s="439"/>
      <c r="W772" s="439"/>
      <c r="X772" s="439"/>
      <c r="Y772" s="439"/>
      <c r="Z772" s="439"/>
      <c r="AA772" s="407">
        <f t="shared" si="100"/>
        <v>320000</v>
      </c>
      <c r="AC772" s="503"/>
      <c r="AD772" s="512">
        <v>320000</v>
      </c>
      <c r="AE772" s="512"/>
      <c r="AF772" s="512"/>
      <c r="AG772" s="507" t="s">
        <v>1299</v>
      </c>
      <c r="AH772" s="507"/>
    </row>
    <row r="773" spans="1:34" s="369" customFormat="1" ht="15.75" hidden="1">
      <c r="A773" s="607"/>
      <c r="B773" s="607"/>
      <c r="C773" s="274"/>
      <c r="D773" s="75" t="s">
        <v>1728</v>
      </c>
      <c r="E773" s="142"/>
      <c r="F773" s="143"/>
      <c r="G773" s="142"/>
      <c r="H773" s="417">
        <v>3210</v>
      </c>
      <c r="I773" s="144">
        <f>32500-32500</f>
        <v>0</v>
      </c>
      <c r="J773" s="76"/>
      <c r="K773" s="76"/>
      <c r="L773" s="49"/>
      <c r="M773" s="49">
        <v>32500</v>
      </c>
      <c r="N773" s="439"/>
      <c r="O773" s="439"/>
      <c r="P773" s="439"/>
      <c r="Q773" s="439"/>
      <c r="R773" s="439">
        <v>32500</v>
      </c>
      <c r="S773" s="439"/>
      <c r="T773" s="439"/>
      <c r="U773" s="439">
        <v>-32500</v>
      </c>
      <c r="V773" s="439"/>
      <c r="W773" s="439"/>
      <c r="X773" s="439"/>
      <c r="Y773" s="439"/>
      <c r="Z773" s="439"/>
      <c r="AA773" s="407">
        <f t="shared" si="100"/>
        <v>0</v>
      </c>
      <c r="AC773" s="503"/>
      <c r="AD773" s="512"/>
      <c r="AE773" s="512"/>
      <c r="AF773" s="512"/>
      <c r="AG773" s="507"/>
      <c r="AH773" s="507"/>
    </row>
    <row r="774" spans="1:34" s="30" customFormat="1" ht="15.75">
      <c r="A774" s="607"/>
      <c r="B774" s="607"/>
      <c r="C774" s="135"/>
      <c r="D774" s="225" t="s">
        <v>1667</v>
      </c>
      <c r="E774" s="142"/>
      <c r="F774" s="143"/>
      <c r="G774" s="142"/>
      <c r="H774" s="417"/>
      <c r="I774" s="169">
        <f>SUM(I775:I780)</f>
        <v>1963600</v>
      </c>
      <c r="J774" s="169">
        <f>SUM(J775:J780)</f>
        <v>0</v>
      </c>
      <c r="K774" s="169">
        <f>SUM(K775:K780)</f>
        <v>0</v>
      </c>
      <c r="L774" s="169">
        <f>SUM(L775:L780)</f>
        <v>0</v>
      </c>
      <c r="M774" s="169">
        <f>SUM(M775:M780)</f>
        <v>2198000</v>
      </c>
      <c r="N774" s="169">
        <f aca="true" t="shared" si="108" ref="N774:Z774">SUM(N775:N780)</f>
        <v>0</v>
      </c>
      <c r="O774" s="169">
        <f t="shared" si="108"/>
        <v>0</v>
      </c>
      <c r="P774" s="169">
        <f t="shared" si="108"/>
        <v>0</v>
      </c>
      <c r="Q774" s="169">
        <f t="shared" si="108"/>
        <v>0</v>
      </c>
      <c r="R774" s="169">
        <f t="shared" si="108"/>
        <v>538000</v>
      </c>
      <c r="S774" s="169">
        <f t="shared" si="108"/>
        <v>300000</v>
      </c>
      <c r="T774" s="169">
        <f t="shared" si="108"/>
        <v>1360000</v>
      </c>
      <c r="U774" s="169">
        <f t="shared" si="108"/>
        <v>0</v>
      </c>
      <c r="V774" s="169">
        <f t="shared" si="108"/>
        <v>-553000</v>
      </c>
      <c r="W774" s="169">
        <f t="shared" si="108"/>
        <v>193000</v>
      </c>
      <c r="X774" s="169">
        <f t="shared" si="108"/>
        <v>-74400</v>
      </c>
      <c r="Y774" s="169">
        <f t="shared" si="108"/>
        <v>200000</v>
      </c>
      <c r="Z774" s="169">
        <f t="shared" si="108"/>
        <v>10947</v>
      </c>
      <c r="AA774" s="407">
        <f t="shared" si="100"/>
        <v>1752653</v>
      </c>
      <c r="AC774" s="59"/>
      <c r="AD774" s="512"/>
      <c r="AE774" s="512"/>
      <c r="AF774" s="512"/>
      <c r="AG774" s="507"/>
      <c r="AH774" s="507"/>
    </row>
    <row r="775" spans="1:34" s="369" customFormat="1" ht="63.75">
      <c r="A775" s="607"/>
      <c r="B775" s="607"/>
      <c r="C775" s="135" t="s">
        <v>1668</v>
      </c>
      <c r="D775" s="378" t="s">
        <v>1729</v>
      </c>
      <c r="E775" s="142"/>
      <c r="F775" s="143" t="e">
        <f>100%-((E775-G775)/E775)</f>
        <v>#DIV/0!</v>
      </c>
      <c r="G775" s="142"/>
      <c r="H775" s="417">
        <v>3210</v>
      </c>
      <c r="I775" s="144">
        <v>700000</v>
      </c>
      <c r="J775" s="169"/>
      <c r="K775" s="169"/>
      <c r="L775" s="49"/>
      <c r="M775" s="49">
        <v>700000</v>
      </c>
      <c r="N775" s="407"/>
      <c r="O775" s="439"/>
      <c r="P775" s="439"/>
      <c r="Q775" s="439"/>
      <c r="R775" s="439">
        <f>100000+300000</f>
        <v>400000</v>
      </c>
      <c r="S775" s="439">
        <v>300000</v>
      </c>
      <c r="T775" s="439">
        <f>300000-300000</f>
        <v>0</v>
      </c>
      <c r="U775" s="439"/>
      <c r="V775" s="439"/>
      <c r="W775" s="439"/>
      <c r="X775" s="439"/>
      <c r="Y775" s="439"/>
      <c r="Z775" s="439"/>
      <c r="AA775" s="407">
        <f t="shared" si="100"/>
        <v>700000</v>
      </c>
      <c r="AC775" s="503"/>
      <c r="AD775" s="512">
        <v>700000</v>
      </c>
      <c r="AE775" s="512">
        <v>700000</v>
      </c>
      <c r="AF775" s="512" t="s">
        <v>1300</v>
      </c>
      <c r="AG775" s="507"/>
      <c r="AH775" s="507"/>
    </row>
    <row r="776" spans="1:34" s="369" customFormat="1" ht="19.5" customHeight="1">
      <c r="A776" s="607"/>
      <c r="B776" s="607"/>
      <c r="C776" s="135"/>
      <c r="D776" s="75" t="s">
        <v>826</v>
      </c>
      <c r="E776" s="142"/>
      <c r="F776" s="143"/>
      <c r="G776" s="142"/>
      <c r="H776" s="417">
        <v>3210</v>
      </c>
      <c r="I776" s="144">
        <v>68000</v>
      </c>
      <c r="J776" s="169"/>
      <c r="K776" s="169"/>
      <c r="L776" s="49"/>
      <c r="M776" s="49">
        <v>68000</v>
      </c>
      <c r="N776" s="407"/>
      <c r="O776" s="439"/>
      <c r="P776" s="439"/>
      <c r="Q776" s="439"/>
      <c r="R776" s="439">
        <v>68000</v>
      </c>
      <c r="S776" s="439"/>
      <c r="T776" s="439"/>
      <c r="U776" s="439"/>
      <c r="V776" s="439"/>
      <c r="W776" s="439"/>
      <c r="X776" s="439"/>
      <c r="Y776" s="439"/>
      <c r="Z776" s="439"/>
      <c r="AA776" s="407">
        <f t="shared" si="100"/>
        <v>68000</v>
      </c>
      <c r="AC776" s="503"/>
      <c r="AD776" s="512">
        <v>68000</v>
      </c>
      <c r="AE776" s="512">
        <v>68000</v>
      </c>
      <c r="AF776" s="512" t="s">
        <v>1301</v>
      </c>
      <c r="AG776" s="507"/>
      <c r="AH776" s="507"/>
    </row>
    <row r="777" spans="1:34" s="369" customFormat="1" ht="38.25">
      <c r="A777" s="607"/>
      <c r="B777" s="607"/>
      <c r="C777" s="135" t="s">
        <v>799</v>
      </c>
      <c r="D777" s="75" t="s">
        <v>827</v>
      </c>
      <c r="E777" s="142">
        <v>50</v>
      </c>
      <c r="F777" s="143">
        <f>100%-((E777-G777)/E777)</f>
        <v>1</v>
      </c>
      <c r="G777" s="142">
        <v>50</v>
      </c>
      <c r="H777" s="417">
        <v>3210</v>
      </c>
      <c r="I777" s="144">
        <f>950000-295000-144400</f>
        <v>510600</v>
      </c>
      <c r="J777" s="144"/>
      <c r="K777" s="169"/>
      <c r="L777" s="49"/>
      <c r="M777" s="49">
        <v>950000</v>
      </c>
      <c r="N777" s="407"/>
      <c r="O777" s="439"/>
      <c r="P777" s="439"/>
      <c r="Q777" s="439"/>
      <c r="R777" s="439"/>
      <c r="S777" s="439"/>
      <c r="T777" s="439">
        <v>950000</v>
      </c>
      <c r="U777" s="439"/>
      <c r="V777" s="439">
        <v>-553000</v>
      </c>
      <c r="W777" s="439">
        <f>283000-295000</f>
        <v>-12000</v>
      </c>
      <c r="X777" s="439">
        <f>70000-144400</f>
        <v>-74400</v>
      </c>
      <c r="Y777" s="439">
        <v>200000</v>
      </c>
      <c r="Z777" s="439"/>
      <c r="AA777" s="407">
        <f t="shared" si="100"/>
        <v>310600</v>
      </c>
      <c r="AC777" s="503"/>
      <c r="AD777" s="512">
        <v>950000</v>
      </c>
      <c r="AE777" s="512">
        <v>950000</v>
      </c>
      <c r="AF777" s="512"/>
      <c r="AG777" s="507"/>
      <c r="AH777" s="507" t="s">
        <v>1302</v>
      </c>
    </row>
    <row r="778" spans="1:34" s="369" customFormat="1" ht="38.25">
      <c r="A778" s="607"/>
      <c r="B778" s="607"/>
      <c r="C778" s="135"/>
      <c r="D778" s="75" t="s">
        <v>902</v>
      </c>
      <c r="E778" s="142"/>
      <c r="F778" s="143"/>
      <c r="G778" s="142"/>
      <c r="H778" s="417">
        <v>3210</v>
      </c>
      <c r="I778" s="144">
        <f>410000+190000</f>
        <v>600000</v>
      </c>
      <c r="J778" s="144"/>
      <c r="K778" s="169"/>
      <c r="L778" s="49"/>
      <c r="M778" s="49">
        <v>410000</v>
      </c>
      <c r="N778" s="407"/>
      <c r="O778" s="439"/>
      <c r="P778" s="439"/>
      <c r="Q778" s="439"/>
      <c r="R778" s="439"/>
      <c r="S778" s="439"/>
      <c r="T778" s="439">
        <v>410000</v>
      </c>
      <c r="U778" s="439"/>
      <c r="V778" s="439"/>
      <c r="W778" s="439">
        <v>190000</v>
      </c>
      <c r="X778" s="439"/>
      <c r="Y778" s="439"/>
      <c r="Z778" s="439"/>
      <c r="AA778" s="407">
        <f t="shared" si="100"/>
        <v>600000</v>
      </c>
      <c r="AC778" s="503"/>
      <c r="AD778" s="512">
        <v>410000</v>
      </c>
      <c r="AE778" s="512">
        <v>410000</v>
      </c>
      <c r="AF778" s="512"/>
      <c r="AG778" s="507"/>
      <c r="AH778" s="507" t="s">
        <v>1302</v>
      </c>
    </row>
    <row r="779" spans="1:34" s="369" customFormat="1" ht="15.75">
      <c r="A779" s="607"/>
      <c r="B779" s="607"/>
      <c r="C779" s="135"/>
      <c r="D779" s="75" t="s">
        <v>903</v>
      </c>
      <c r="E779" s="142"/>
      <c r="F779" s="143"/>
      <c r="G779" s="142"/>
      <c r="H779" s="417">
        <v>3210</v>
      </c>
      <c r="I779" s="144">
        <f>20000+15000</f>
        <v>35000</v>
      </c>
      <c r="J779" s="144"/>
      <c r="K779" s="169"/>
      <c r="L779" s="49"/>
      <c r="M779" s="49">
        <v>20000</v>
      </c>
      <c r="N779" s="407"/>
      <c r="O779" s="439"/>
      <c r="P779" s="439"/>
      <c r="Q779" s="439"/>
      <c r="R779" s="439">
        <v>20000</v>
      </c>
      <c r="S779" s="439"/>
      <c r="T779" s="439"/>
      <c r="U779" s="439"/>
      <c r="V779" s="439"/>
      <c r="W779" s="439">
        <v>15000</v>
      </c>
      <c r="X779" s="439"/>
      <c r="Y779" s="439"/>
      <c r="Z779" s="439"/>
      <c r="AA779" s="407">
        <f t="shared" si="100"/>
        <v>35000</v>
      </c>
      <c r="AC779" s="503"/>
      <c r="AD779" s="512">
        <v>20000</v>
      </c>
      <c r="AE779" s="512">
        <v>20000</v>
      </c>
      <c r="AF779" s="512"/>
      <c r="AG779" s="507"/>
      <c r="AH779" s="507"/>
    </row>
    <row r="780" spans="1:34" s="369" customFormat="1" ht="15.75">
      <c r="A780" s="607"/>
      <c r="B780" s="607"/>
      <c r="C780" s="135"/>
      <c r="D780" s="378" t="s">
        <v>800</v>
      </c>
      <c r="E780" s="142"/>
      <c r="F780" s="143"/>
      <c r="G780" s="142"/>
      <c r="H780" s="417">
        <v>3210</v>
      </c>
      <c r="I780" s="144">
        <v>50000</v>
      </c>
      <c r="J780" s="144"/>
      <c r="K780" s="169"/>
      <c r="L780" s="49"/>
      <c r="M780" s="49">
        <v>50000</v>
      </c>
      <c r="N780" s="407"/>
      <c r="O780" s="439"/>
      <c r="P780" s="439"/>
      <c r="Q780" s="439"/>
      <c r="R780" s="439">
        <v>50000</v>
      </c>
      <c r="S780" s="439"/>
      <c r="T780" s="439"/>
      <c r="U780" s="439"/>
      <c r="V780" s="439"/>
      <c r="W780" s="439"/>
      <c r="X780" s="439"/>
      <c r="Y780" s="439"/>
      <c r="Z780" s="407">
        <v>10947</v>
      </c>
      <c r="AA780" s="407">
        <f t="shared" si="100"/>
        <v>39053</v>
      </c>
      <c r="AC780" s="503"/>
      <c r="AD780" s="512">
        <v>50000</v>
      </c>
      <c r="AE780" s="512">
        <v>50000</v>
      </c>
      <c r="AF780" s="512"/>
      <c r="AG780" s="507"/>
      <c r="AH780" s="507"/>
    </row>
    <row r="781" spans="1:34" s="30" customFormat="1" ht="15.75" hidden="1">
      <c r="A781" s="607"/>
      <c r="B781" s="607"/>
      <c r="C781" s="166"/>
      <c r="D781" s="272" t="s">
        <v>567</v>
      </c>
      <c r="E781" s="172"/>
      <c r="F781" s="229"/>
      <c r="G781" s="172"/>
      <c r="H781" s="417">
        <v>3210</v>
      </c>
      <c r="I781" s="169" t="e">
        <f>J781+K781+L781+M781+#REF!+#REF!</f>
        <v>#REF!</v>
      </c>
      <c r="J781" s="169">
        <f>SUM(J782:J791)</f>
        <v>0</v>
      </c>
      <c r="K781" s="169"/>
      <c r="L781" s="169">
        <f>SUM(L782:L791)</f>
        <v>0</v>
      </c>
      <c r="M781" s="169">
        <f>SUM(M782:M791)</f>
        <v>0</v>
      </c>
      <c r="N781" s="439"/>
      <c r="O781" s="439"/>
      <c r="P781" s="439"/>
      <c r="Q781" s="439"/>
      <c r="R781" s="439"/>
      <c r="S781" s="439"/>
      <c r="T781" s="439"/>
      <c r="U781" s="439"/>
      <c r="V781" s="439"/>
      <c r="W781" s="439"/>
      <c r="X781" s="439"/>
      <c r="Y781" s="439"/>
      <c r="Z781" s="439"/>
      <c r="AA781" s="407">
        <f t="shared" si="100"/>
        <v>0</v>
      </c>
      <c r="AC781" s="59"/>
      <c r="AD781" s="512"/>
      <c r="AE781" s="512"/>
      <c r="AF781" s="512"/>
      <c r="AG781" s="507"/>
      <c r="AH781" s="507"/>
    </row>
    <row r="782" spans="1:34" s="30" customFormat="1" ht="15.75" hidden="1">
      <c r="A782" s="607"/>
      <c r="B782" s="607"/>
      <c r="C782" s="135"/>
      <c r="D782" s="276"/>
      <c r="E782" s="142"/>
      <c r="F782" s="143"/>
      <c r="G782" s="142"/>
      <c r="H782" s="417">
        <v>3210</v>
      </c>
      <c r="I782" s="144" t="e">
        <f>J782+K782+L782+M782+#REF!+#REF!</f>
        <v>#REF!</v>
      </c>
      <c r="J782" s="144"/>
      <c r="K782" s="169"/>
      <c r="L782" s="144"/>
      <c r="M782" s="169"/>
      <c r="N782" s="407"/>
      <c r="O782" s="439"/>
      <c r="P782" s="439"/>
      <c r="Q782" s="439"/>
      <c r="R782" s="439"/>
      <c r="S782" s="439"/>
      <c r="T782" s="439"/>
      <c r="U782" s="439"/>
      <c r="V782" s="439"/>
      <c r="W782" s="439"/>
      <c r="X782" s="439"/>
      <c r="Y782" s="439"/>
      <c r="Z782" s="439"/>
      <c r="AA782" s="407">
        <f t="shared" si="100"/>
        <v>0</v>
      </c>
      <c r="AC782" s="59"/>
      <c r="AD782" s="512"/>
      <c r="AE782" s="512"/>
      <c r="AF782" s="512"/>
      <c r="AG782" s="507"/>
      <c r="AH782" s="507"/>
    </row>
    <row r="783" spans="1:34" s="30" customFormat="1" ht="15.75" hidden="1">
      <c r="A783" s="607"/>
      <c r="B783" s="607"/>
      <c r="C783" s="135"/>
      <c r="D783" s="276"/>
      <c r="E783" s="142"/>
      <c r="F783" s="143"/>
      <c r="G783" s="142"/>
      <c r="H783" s="417">
        <v>3210</v>
      </c>
      <c r="I783" s="144" t="e">
        <f>J783+K783+L783+M783+#REF!+#REF!</f>
        <v>#REF!</v>
      </c>
      <c r="J783" s="144"/>
      <c r="K783" s="169"/>
      <c r="L783" s="144"/>
      <c r="M783" s="169"/>
      <c r="N783" s="407"/>
      <c r="O783" s="439"/>
      <c r="P783" s="439"/>
      <c r="Q783" s="439"/>
      <c r="R783" s="439"/>
      <c r="S783" s="439"/>
      <c r="T783" s="439"/>
      <c r="U783" s="439"/>
      <c r="V783" s="439"/>
      <c r="W783" s="439"/>
      <c r="X783" s="439"/>
      <c r="Y783" s="439"/>
      <c r="Z783" s="439"/>
      <c r="AA783" s="407">
        <f t="shared" si="100"/>
        <v>0</v>
      </c>
      <c r="AC783" s="59"/>
      <c r="AD783" s="512"/>
      <c r="AE783" s="512"/>
      <c r="AF783" s="512"/>
      <c r="AG783" s="507"/>
      <c r="AH783" s="507"/>
    </row>
    <row r="784" spans="1:34" s="30" customFormat="1" ht="15.75" hidden="1">
      <c r="A784" s="607"/>
      <c r="B784" s="607"/>
      <c r="C784" s="135"/>
      <c r="D784" s="276"/>
      <c r="E784" s="142"/>
      <c r="F784" s="143"/>
      <c r="G784" s="142"/>
      <c r="H784" s="417">
        <v>3210</v>
      </c>
      <c r="I784" s="144" t="e">
        <f>J784+K784+L784+M784+#REF!+#REF!</f>
        <v>#REF!</v>
      </c>
      <c r="J784" s="144"/>
      <c r="K784" s="169"/>
      <c r="L784" s="144"/>
      <c r="M784" s="169"/>
      <c r="N784" s="407"/>
      <c r="O784" s="439"/>
      <c r="P784" s="439"/>
      <c r="Q784" s="439"/>
      <c r="R784" s="439"/>
      <c r="S784" s="439"/>
      <c r="T784" s="439"/>
      <c r="U784" s="439"/>
      <c r="V784" s="439"/>
      <c r="W784" s="439"/>
      <c r="X784" s="439"/>
      <c r="Y784" s="439"/>
      <c r="Z784" s="439"/>
      <c r="AA784" s="407">
        <f t="shared" si="100"/>
        <v>0</v>
      </c>
      <c r="AC784" s="59"/>
      <c r="AD784" s="512"/>
      <c r="AE784" s="512"/>
      <c r="AF784" s="512"/>
      <c r="AG784" s="507"/>
      <c r="AH784" s="507"/>
    </row>
    <row r="785" spans="1:34" s="30" customFormat="1" ht="15.75" hidden="1">
      <c r="A785" s="607"/>
      <c r="B785" s="607"/>
      <c r="C785" s="135"/>
      <c r="D785" s="276"/>
      <c r="E785" s="142"/>
      <c r="F785" s="143"/>
      <c r="G785" s="142"/>
      <c r="H785" s="417">
        <v>3210</v>
      </c>
      <c r="I785" s="144" t="e">
        <f>J785+K785+L785+M785+#REF!+#REF!</f>
        <v>#REF!</v>
      </c>
      <c r="J785" s="144"/>
      <c r="K785" s="169"/>
      <c r="L785" s="144"/>
      <c r="M785" s="169"/>
      <c r="N785" s="407"/>
      <c r="O785" s="439"/>
      <c r="P785" s="439"/>
      <c r="Q785" s="439"/>
      <c r="R785" s="439"/>
      <c r="S785" s="439"/>
      <c r="T785" s="439"/>
      <c r="U785" s="439"/>
      <c r="V785" s="439"/>
      <c r="W785" s="439"/>
      <c r="X785" s="439"/>
      <c r="Y785" s="439"/>
      <c r="Z785" s="439"/>
      <c r="AA785" s="407">
        <f t="shared" si="100"/>
        <v>0</v>
      </c>
      <c r="AC785" s="59"/>
      <c r="AD785" s="512"/>
      <c r="AE785" s="512"/>
      <c r="AF785" s="512"/>
      <c r="AG785" s="507"/>
      <c r="AH785" s="507"/>
    </row>
    <row r="786" spans="1:34" s="30" customFormat="1" ht="15.75" hidden="1">
      <c r="A786" s="607"/>
      <c r="B786" s="607"/>
      <c r="C786" s="135"/>
      <c r="D786" s="276"/>
      <c r="E786" s="142"/>
      <c r="F786" s="143"/>
      <c r="G786" s="142"/>
      <c r="H786" s="417">
        <v>3210</v>
      </c>
      <c r="I786" s="144" t="e">
        <f>J786+K786+L786+M786+#REF!+#REF!</f>
        <v>#REF!</v>
      </c>
      <c r="J786" s="144"/>
      <c r="K786" s="169"/>
      <c r="L786" s="144"/>
      <c r="M786" s="169"/>
      <c r="N786" s="407"/>
      <c r="O786" s="439"/>
      <c r="P786" s="439"/>
      <c r="Q786" s="439"/>
      <c r="R786" s="439"/>
      <c r="S786" s="439"/>
      <c r="T786" s="439"/>
      <c r="U786" s="439"/>
      <c r="V786" s="439"/>
      <c r="W786" s="439"/>
      <c r="X786" s="439"/>
      <c r="Y786" s="439"/>
      <c r="Z786" s="439"/>
      <c r="AA786" s="407">
        <f t="shared" si="100"/>
        <v>0</v>
      </c>
      <c r="AC786" s="59"/>
      <c r="AD786" s="512"/>
      <c r="AE786" s="512"/>
      <c r="AF786" s="512"/>
      <c r="AG786" s="507"/>
      <c r="AH786" s="507"/>
    </row>
    <row r="787" spans="1:34" s="30" customFormat="1" ht="15.75" hidden="1">
      <c r="A787" s="607"/>
      <c r="B787" s="607"/>
      <c r="C787" s="135"/>
      <c r="D787" s="276"/>
      <c r="E787" s="142"/>
      <c r="F787" s="143"/>
      <c r="G787" s="142"/>
      <c r="H787" s="417">
        <v>3210</v>
      </c>
      <c r="I787" s="144" t="e">
        <f>J787+K787+L787+M787+#REF!+#REF!</f>
        <v>#REF!</v>
      </c>
      <c r="J787" s="144"/>
      <c r="K787" s="169"/>
      <c r="L787" s="144"/>
      <c r="M787" s="169"/>
      <c r="N787" s="407"/>
      <c r="O787" s="439"/>
      <c r="P787" s="439"/>
      <c r="Q787" s="439"/>
      <c r="R787" s="439"/>
      <c r="S787" s="439"/>
      <c r="T787" s="439"/>
      <c r="U787" s="439"/>
      <c r="V787" s="439"/>
      <c r="W787" s="439"/>
      <c r="X787" s="439"/>
      <c r="Y787" s="439"/>
      <c r="Z787" s="439"/>
      <c r="AA787" s="407">
        <f t="shared" si="100"/>
        <v>0</v>
      </c>
      <c r="AC787" s="59"/>
      <c r="AD787" s="512"/>
      <c r="AE787" s="512"/>
      <c r="AF787" s="512"/>
      <c r="AG787" s="507"/>
      <c r="AH787" s="507"/>
    </row>
    <row r="788" spans="1:34" s="30" customFormat="1" ht="15.75" hidden="1">
      <c r="A788" s="607"/>
      <c r="B788" s="607"/>
      <c r="C788" s="135"/>
      <c r="D788" s="276"/>
      <c r="E788" s="142"/>
      <c r="F788" s="143"/>
      <c r="G788" s="142"/>
      <c r="H788" s="417">
        <v>3210</v>
      </c>
      <c r="I788" s="144"/>
      <c r="J788" s="144"/>
      <c r="K788" s="169"/>
      <c r="L788" s="144"/>
      <c r="M788" s="169"/>
      <c r="N788" s="407"/>
      <c r="O788" s="439"/>
      <c r="P788" s="439"/>
      <c r="Q788" s="439"/>
      <c r="R788" s="439"/>
      <c r="S788" s="439"/>
      <c r="T788" s="439"/>
      <c r="U788" s="439"/>
      <c r="V788" s="439"/>
      <c r="W788" s="439"/>
      <c r="X788" s="439"/>
      <c r="Y788" s="439"/>
      <c r="Z788" s="439"/>
      <c r="AA788" s="407">
        <f t="shared" si="100"/>
        <v>0</v>
      </c>
      <c r="AC788" s="59"/>
      <c r="AD788" s="512"/>
      <c r="AE788" s="512"/>
      <c r="AF788" s="512"/>
      <c r="AG788" s="507"/>
      <c r="AH788" s="507"/>
    </row>
    <row r="789" spans="1:34" s="30" customFormat="1" ht="15.75" hidden="1">
      <c r="A789" s="607"/>
      <c r="B789" s="607"/>
      <c r="C789" s="135"/>
      <c r="D789" s="276"/>
      <c r="E789" s="142"/>
      <c r="F789" s="143"/>
      <c r="G789" s="142"/>
      <c r="H789" s="417">
        <v>3210</v>
      </c>
      <c r="I789" s="144" t="e">
        <f>J789+K789+L789+M789+#REF!+#REF!</f>
        <v>#REF!</v>
      </c>
      <c r="J789" s="144"/>
      <c r="K789" s="169"/>
      <c r="L789" s="144"/>
      <c r="M789" s="169"/>
      <c r="N789" s="407"/>
      <c r="O789" s="439"/>
      <c r="P789" s="439"/>
      <c r="Q789" s="439"/>
      <c r="R789" s="439"/>
      <c r="S789" s="439"/>
      <c r="T789" s="439"/>
      <c r="U789" s="439"/>
      <c r="V789" s="439"/>
      <c r="W789" s="439"/>
      <c r="X789" s="439"/>
      <c r="Y789" s="439"/>
      <c r="Z789" s="439"/>
      <c r="AA789" s="407">
        <f t="shared" si="100"/>
        <v>0</v>
      </c>
      <c r="AC789" s="59"/>
      <c r="AD789" s="512"/>
      <c r="AE789" s="512"/>
      <c r="AF789" s="512"/>
      <c r="AG789" s="507"/>
      <c r="AH789" s="507"/>
    </row>
    <row r="790" spans="1:34" s="30" customFormat="1" ht="15.75" hidden="1">
      <c r="A790" s="607"/>
      <c r="B790" s="607"/>
      <c r="C790" s="135"/>
      <c r="D790" s="276"/>
      <c r="E790" s="142"/>
      <c r="F790" s="143"/>
      <c r="G790" s="142"/>
      <c r="H790" s="417">
        <v>3210</v>
      </c>
      <c r="I790" s="144" t="e">
        <f>J790+K790+L790+M790+#REF!+#REF!</f>
        <v>#REF!</v>
      </c>
      <c r="J790" s="144"/>
      <c r="K790" s="169"/>
      <c r="L790" s="144"/>
      <c r="M790" s="169"/>
      <c r="N790" s="407"/>
      <c r="O790" s="439"/>
      <c r="P790" s="439"/>
      <c r="Q790" s="439"/>
      <c r="R790" s="439"/>
      <c r="S790" s="439"/>
      <c r="T790" s="439"/>
      <c r="U790" s="439"/>
      <c r="V790" s="439"/>
      <c r="W790" s="439"/>
      <c r="X790" s="439"/>
      <c r="Y790" s="439"/>
      <c r="Z790" s="439"/>
      <c r="AA790" s="407">
        <f t="shared" si="100"/>
        <v>0</v>
      </c>
      <c r="AC790" s="59"/>
      <c r="AD790" s="512"/>
      <c r="AE790" s="512"/>
      <c r="AF790" s="512"/>
      <c r="AG790" s="507"/>
      <c r="AH790" s="507"/>
    </row>
    <row r="791" spans="1:34" s="30" customFormat="1" ht="15.75" hidden="1">
      <c r="A791" s="607"/>
      <c r="B791" s="607"/>
      <c r="C791" s="135"/>
      <c r="D791" s="276"/>
      <c r="E791" s="142"/>
      <c r="F791" s="143"/>
      <c r="G791" s="142"/>
      <c r="H791" s="417">
        <v>3210</v>
      </c>
      <c r="I791" s="144" t="e">
        <f>J791+K791+L791+M791+#REF!+#REF!</f>
        <v>#REF!</v>
      </c>
      <c r="J791" s="144"/>
      <c r="K791" s="169"/>
      <c r="L791" s="144"/>
      <c r="M791" s="169"/>
      <c r="N791" s="407"/>
      <c r="O791" s="439"/>
      <c r="P791" s="439"/>
      <c r="Q791" s="439"/>
      <c r="R791" s="439"/>
      <c r="S791" s="439"/>
      <c r="T791" s="439"/>
      <c r="U791" s="439"/>
      <c r="V791" s="439"/>
      <c r="W791" s="439"/>
      <c r="X791" s="439"/>
      <c r="Y791" s="439"/>
      <c r="Z791" s="439"/>
      <c r="AA791" s="407">
        <f t="shared" si="100"/>
        <v>0</v>
      </c>
      <c r="AC791" s="59"/>
      <c r="AD791" s="512"/>
      <c r="AE791" s="512"/>
      <c r="AF791" s="512"/>
      <c r="AG791" s="507"/>
      <c r="AH791" s="507"/>
    </row>
    <row r="792" spans="1:34" s="30" customFormat="1" ht="15.75">
      <c r="A792" s="607"/>
      <c r="B792" s="607"/>
      <c r="C792" s="135"/>
      <c r="D792" s="272" t="s">
        <v>1935</v>
      </c>
      <c r="E792" s="142"/>
      <c r="F792" s="143"/>
      <c r="G792" s="142"/>
      <c r="H792" s="417"/>
      <c r="I792" s="169">
        <f>SUM(I793:I825)</f>
        <v>4750372.7</v>
      </c>
      <c r="J792" s="169">
        <f>SUM(J793:J825)</f>
        <v>0</v>
      </c>
      <c r="K792" s="169">
        <f>SUM(K793:K825)</f>
        <v>0</v>
      </c>
      <c r="L792" s="169">
        <f>SUM(L793:L825)</f>
        <v>4544532.75</v>
      </c>
      <c r="M792" s="169">
        <f>SUM(M793:M825)</f>
        <v>234136</v>
      </c>
      <c r="N792" s="169">
        <f aca="true" t="shared" si="109" ref="N792:Z792">SUM(N793:N825)</f>
        <v>0</v>
      </c>
      <c r="O792" s="169">
        <f t="shared" si="109"/>
        <v>0</v>
      </c>
      <c r="P792" s="169">
        <f t="shared" si="109"/>
        <v>0</v>
      </c>
      <c r="Q792" s="169">
        <f t="shared" si="109"/>
        <v>0</v>
      </c>
      <c r="R792" s="169">
        <f t="shared" si="109"/>
        <v>500709.75</v>
      </c>
      <c r="S792" s="169">
        <f t="shared" si="109"/>
        <v>1477531</v>
      </c>
      <c r="T792" s="169">
        <f t="shared" si="109"/>
        <v>590233</v>
      </c>
      <c r="U792" s="169">
        <f t="shared" si="109"/>
        <v>1268703.95</v>
      </c>
      <c r="V792" s="169">
        <f t="shared" si="109"/>
        <v>212000</v>
      </c>
      <c r="W792" s="169">
        <f t="shared" si="109"/>
        <v>439662</v>
      </c>
      <c r="X792" s="169">
        <f t="shared" si="109"/>
        <v>66818</v>
      </c>
      <c r="Y792" s="169">
        <f t="shared" si="109"/>
        <v>194715</v>
      </c>
      <c r="Z792" s="169">
        <f t="shared" si="109"/>
        <v>2419382.69</v>
      </c>
      <c r="AA792" s="407">
        <f t="shared" si="100"/>
        <v>2136275.01</v>
      </c>
      <c r="AC792" s="59"/>
      <c r="AD792" s="512"/>
      <c r="AE792" s="512"/>
      <c r="AF792" s="512"/>
      <c r="AG792" s="507"/>
      <c r="AH792" s="507"/>
    </row>
    <row r="793" spans="1:34" s="369" customFormat="1" ht="31.5">
      <c r="A793" s="607"/>
      <c r="B793" s="607"/>
      <c r="C793" s="135" t="s">
        <v>1362</v>
      </c>
      <c r="D793" s="378" t="s">
        <v>682</v>
      </c>
      <c r="E793" s="142">
        <v>120</v>
      </c>
      <c r="F793" s="143">
        <f>100%-((E793-G793)/E793)</f>
        <v>1</v>
      </c>
      <c r="G793" s="142">
        <v>120</v>
      </c>
      <c r="H793" s="417">
        <v>3210</v>
      </c>
      <c r="I793" s="144">
        <v>88505</v>
      </c>
      <c r="J793" s="144"/>
      <c r="K793" s="144"/>
      <c r="L793" s="49">
        <v>88505</v>
      </c>
      <c r="M793" s="169"/>
      <c r="N793" s="439"/>
      <c r="O793" s="439"/>
      <c r="P793" s="439"/>
      <c r="Q793" s="439"/>
      <c r="R793" s="439"/>
      <c r="S793" s="439"/>
      <c r="T793" s="439"/>
      <c r="U793" s="439"/>
      <c r="V793" s="439"/>
      <c r="W793" s="439"/>
      <c r="X793" s="439"/>
      <c r="Y793" s="49">
        <v>88505</v>
      </c>
      <c r="Z793" s="439"/>
      <c r="AA793" s="407">
        <f t="shared" si="100"/>
        <v>0</v>
      </c>
      <c r="AC793" s="503"/>
      <c r="AD793" s="512">
        <v>88505</v>
      </c>
      <c r="AE793" s="512">
        <v>88505</v>
      </c>
      <c r="AF793" s="512"/>
      <c r="AG793" s="507"/>
      <c r="AH793" s="507"/>
    </row>
    <row r="794" spans="1:34" s="362" customFormat="1" ht="31.5">
      <c r="A794" s="607"/>
      <c r="B794" s="607"/>
      <c r="C794" s="135" t="s">
        <v>572</v>
      </c>
      <c r="D794" s="378" t="s">
        <v>228</v>
      </c>
      <c r="E794" s="142">
        <v>33.368</v>
      </c>
      <c r="F794" s="143">
        <f>100%-((E794-G794)/E794)</f>
        <v>1</v>
      </c>
      <c r="G794" s="142">
        <v>33.368</v>
      </c>
      <c r="H794" s="417">
        <v>3210</v>
      </c>
      <c r="I794" s="144">
        <v>840000</v>
      </c>
      <c r="J794" s="144"/>
      <c r="K794" s="144"/>
      <c r="L794" s="49">
        <v>840000</v>
      </c>
      <c r="M794" s="144"/>
      <c r="N794" s="407"/>
      <c r="O794" s="407"/>
      <c r="P794" s="407"/>
      <c r="Q794" s="407"/>
      <c r="R794" s="407"/>
      <c r="S794" s="407"/>
      <c r="T794" s="407"/>
      <c r="U794" s="407">
        <v>840000</v>
      </c>
      <c r="V794" s="407"/>
      <c r="W794" s="407"/>
      <c r="X794" s="407"/>
      <c r="Y794" s="407"/>
      <c r="Z794" s="407"/>
      <c r="AA794" s="407">
        <f t="shared" si="100"/>
        <v>840000</v>
      </c>
      <c r="AC794" s="501"/>
      <c r="AD794" s="512">
        <v>840000</v>
      </c>
      <c r="AE794" s="512"/>
      <c r="AF794" s="512"/>
      <c r="AG794" s="507" t="s">
        <v>1303</v>
      </c>
      <c r="AH794" s="507"/>
    </row>
    <row r="795" spans="1:34" s="362" customFormat="1" ht="38.25">
      <c r="A795" s="607"/>
      <c r="B795" s="607"/>
      <c r="C795" s="135" t="s">
        <v>761</v>
      </c>
      <c r="D795" s="378" t="s">
        <v>1750</v>
      </c>
      <c r="E795" s="142">
        <v>32.801</v>
      </c>
      <c r="F795" s="143">
        <f>100%-((E795-G795)/E795)</f>
        <v>1</v>
      </c>
      <c r="G795" s="142">
        <v>32.801</v>
      </c>
      <c r="H795" s="417">
        <v>3210</v>
      </c>
      <c r="I795" s="144">
        <f>100000-45000</f>
        <v>55000</v>
      </c>
      <c r="J795" s="144"/>
      <c r="K795" s="144"/>
      <c r="L795" s="49">
        <v>100000</v>
      </c>
      <c r="M795" s="144"/>
      <c r="N795" s="407"/>
      <c r="O795" s="407"/>
      <c r="P795" s="407"/>
      <c r="Q795" s="407"/>
      <c r="R795" s="407"/>
      <c r="S795" s="49">
        <v>100000</v>
      </c>
      <c r="T795" s="407"/>
      <c r="U795" s="407"/>
      <c r="V795" s="407"/>
      <c r="W795" s="407"/>
      <c r="X795" s="407">
        <v>-45000</v>
      </c>
      <c r="Y795" s="407"/>
      <c r="Z795" s="407">
        <f>10029.99+44850.61</f>
        <v>54880.6</v>
      </c>
      <c r="AA795" s="407">
        <f t="shared" si="100"/>
        <v>119.4</v>
      </c>
      <c r="AC795" s="501"/>
      <c r="AD795" s="512">
        <v>100000</v>
      </c>
      <c r="AE795" s="512"/>
      <c r="AF795" s="512" t="s">
        <v>1304</v>
      </c>
      <c r="AG795" s="507" t="s">
        <v>1305</v>
      </c>
      <c r="AH795" s="507"/>
    </row>
    <row r="796" spans="1:34" s="362" customFormat="1" ht="38.25">
      <c r="A796" s="607"/>
      <c r="B796" s="607"/>
      <c r="C796" s="135" t="s">
        <v>664</v>
      </c>
      <c r="D796" s="378" t="s">
        <v>1875</v>
      </c>
      <c r="E796" s="142">
        <v>61.707</v>
      </c>
      <c r="F796" s="143">
        <f>100%-((E796-G796)/E796)</f>
        <v>1</v>
      </c>
      <c r="G796" s="142">
        <v>61.707</v>
      </c>
      <c r="H796" s="417">
        <v>3210</v>
      </c>
      <c r="I796" s="144">
        <f>122123-1033.76</f>
        <v>121089.24</v>
      </c>
      <c r="J796" s="144"/>
      <c r="K796" s="144"/>
      <c r="L796" s="49">
        <v>122123</v>
      </c>
      <c r="M796" s="144"/>
      <c r="N796" s="407"/>
      <c r="O796" s="407"/>
      <c r="P796" s="407"/>
      <c r="Q796" s="407"/>
      <c r="R796" s="407"/>
      <c r="S796" s="49">
        <v>122123</v>
      </c>
      <c r="T796" s="407"/>
      <c r="U796" s="407">
        <v>-1033.76</v>
      </c>
      <c r="V796" s="407"/>
      <c r="W796" s="407"/>
      <c r="X796" s="407"/>
      <c r="Y796" s="407"/>
      <c r="Z796" s="407">
        <v>121089.24</v>
      </c>
      <c r="AA796" s="407">
        <f t="shared" si="100"/>
        <v>0</v>
      </c>
      <c r="AC796" s="501"/>
      <c r="AD796" s="512">
        <v>121089.24</v>
      </c>
      <c r="AE796" s="512">
        <v>121091</v>
      </c>
      <c r="AF796" s="512" t="s">
        <v>905</v>
      </c>
      <c r="AG796" s="507" t="s">
        <v>906</v>
      </c>
      <c r="AH796" s="507" t="s">
        <v>1016</v>
      </c>
    </row>
    <row r="797" spans="1:34" s="362" customFormat="1" ht="38.25">
      <c r="A797" s="607"/>
      <c r="B797" s="607"/>
      <c r="C797" s="135" t="s">
        <v>55</v>
      </c>
      <c r="D797" s="378" t="s">
        <v>1374</v>
      </c>
      <c r="E797" s="142">
        <v>21.67</v>
      </c>
      <c r="F797" s="143">
        <f>100%-((E797-G797)/E797)</f>
        <v>1</v>
      </c>
      <c r="G797" s="142">
        <v>21.67</v>
      </c>
      <c r="H797" s="417">
        <v>3210</v>
      </c>
      <c r="I797" s="144">
        <f>100000+18000-737</f>
        <v>117263</v>
      </c>
      <c r="J797" s="144"/>
      <c r="K797" s="144"/>
      <c r="L797" s="49">
        <v>100000</v>
      </c>
      <c r="M797" s="144"/>
      <c r="N797" s="407"/>
      <c r="O797" s="407"/>
      <c r="P797" s="407"/>
      <c r="Q797" s="407"/>
      <c r="R797" s="49">
        <v>100000</v>
      </c>
      <c r="S797" s="407"/>
      <c r="T797" s="407"/>
      <c r="U797" s="407">
        <f>18000-737</f>
        <v>17263</v>
      </c>
      <c r="V797" s="407"/>
      <c r="W797" s="407"/>
      <c r="X797" s="407"/>
      <c r="Y797" s="407"/>
      <c r="Z797" s="407">
        <v>117262.8</v>
      </c>
      <c r="AA797" s="407">
        <f t="shared" si="100"/>
        <v>0.2</v>
      </c>
      <c r="AC797" s="501"/>
      <c r="AD797" s="512">
        <v>117263</v>
      </c>
      <c r="AE797" s="512"/>
      <c r="AF797" s="512" t="s">
        <v>907</v>
      </c>
      <c r="AG797" s="507" t="s">
        <v>908</v>
      </c>
      <c r="AH797" s="507"/>
    </row>
    <row r="798" spans="1:34" s="362" customFormat="1" ht="38.25">
      <c r="A798" s="607"/>
      <c r="B798" s="607"/>
      <c r="C798" s="135" t="s">
        <v>30</v>
      </c>
      <c r="D798" s="378" t="s">
        <v>1375</v>
      </c>
      <c r="E798" s="142">
        <v>200</v>
      </c>
      <c r="F798" s="143">
        <v>1</v>
      </c>
      <c r="G798" s="142">
        <v>200</v>
      </c>
      <c r="H798" s="417">
        <v>3210</v>
      </c>
      <c r="I798" s="144">
        <f>50070-5649.26</f>
        <v>44420.74</v>
      </c>
      <c r="J798" s="144"/>
      <c r="K798" s="144"/>
      <c r="L798" s="49">
        <v>50070</v>
      </c>
      <c r="M798" s="144"/>
      <c r="N798" s="407"/>
      <c r="O798" s="407"/>
      <c r="P798" s="407"/>
      <c r="Q798" s="407"/>
      <c r="R798" s="49">
        <v>50070</v>
      </c>
      <c r="S798" s="407"/>
      <c r="T798" s="407"/>
      <c r="U798" s="407">
        <v>-5649.26</v>
      </c>
      <c r="V798" s="407"/>
      <c r="W798" s="407"/>
      <c r="X798" s="407"/>
      <c r="Y798" s="407"/>
      <c r="Z798" s="407">
        <v>44420.74</v>
      </c>
      <c r="AA798" s="407">
        <f t="shared" si="100"/>
        <v>0</v>
      </c>
      <c r="AC798" s="501"/>
      <c r="AD798" s="512">
        <v>44420.74</v>
      </c>
      <c r="AE798" s="512">
        <v>47678</v>
      </c>
      <c r="AF798" s="512" t="s">
        <v>909</v>
      </c>
      <c r="AG798" s="507" t="s">
        <v>910</v>
      </c>
      <c r="AH798" s="507" t="s">
        <v>1016</v>
      </c>
    </row>
    <row r="799" spans="1:34" s="362" customFormat="1" ht="38.25">
      <c r="A799" s="607"/>
      <c r="B799" s="607"/>
      <c r="C799" s="135" t="s">
        <v>842</v>
      </c>
      <c r="D799" s="75" t="s">
        <v>1745</v>
      </c>
      <c r="E799" s="142">
        <v>17.318</v>
      </c>
      <c r="F799" s="143">
        <f aca="true" t="shared" si="110" ref="F799:F812">100%-((E799-G799)/E799)</f>
        <v>1</v>
      </c>
      <c r="G799" s="142">
        <v>17.318</v>
      </c>
      <c r="H799" s="417">
        <v>3210</v>
      </c>
      <c r="I799" s="144">
        <f>296733-18000-33000</f>
        <v>245733</v>
      </c>
      <c r="J799" s="144"/>
      <c r="K799" s="144"/>
      <c r="L799" s="49">
        <v>296733</v>
      </c>
      <c r="M799" s="144"/>
      <c r="N799" s="407"/>
      <c r="O799" s="407"/>
      <c r="P799" s="407"/>
      <c r="Q799" s="407"/>
      <c r="R799" s="49"/>
      <c r="S799" s="407"/>
      <c r="T799" s="49">
        <v>296733</v>
      </c>
      <c r="U799" s="407">
        <v>-18000</v>
      </c>
      <c r="V799" s="407"/>
      <c r="W799" s="407"/>
      <c r="X799" s="407">
        <v>-33000</v>
      </c>
      <c r="Y799" s="407"/>
      <c r="Z799" s="407">
        <v>237441.54</v>
      </c>
      <c r="AA799" s="407">
        <f t="shared" si="100"/>
        <v>8291.46</v>
      </c>
      <c r="AC799" s="501"/>
      <c r="AD799" s="512">
        <v>278733</v>
      </c>
      <c r="AE799" s="512">
        <v>237442</v>
      </c>
      <c r="AF799" s="512" t="s">
        <v>911</v>
      </c>
      <c r="AG799" s="507" t="s">
        <v>912</v>
      </c>
      <c r="AH799" s="507" t="s">
        <v>1016</v>
      </c>
    </row>
    <row r="800" spans="1:34" s="362" customFormat="1" ht="38.25">
      <c r="A800" s="607"/>
      <c r="B800" s="607"/>
      <c r="C800" s="135"/>
      <c r="D800" s="75" t="s">
        <v>1746</v>
      </c>
      <c r="E800" s="142">
        <v>123.5</v>
      </c>
      <c r="F800" s="143">
        <f t="shared" si="110"/>
        <v>1</v>
      </c>
      <c r="G800" s="142">
        <v>123.5</v>
      </c>
      <c r="H800" s="417">
        <v>3210</v>
      </c>
      <c r="I800" s="144">
        <f>103743.75-159.92</f>
        <v>103583.83</v>
      </c>
      <c r="J800" s="144"/>
      <c r="K800" s="144"/>
      <c r="L800" s="49">
        <v>103743.75</v>
      </c>
      <c r="M800" s="144"/>
      <c r="N800" s="407"/>
      <c r="O800" s="407"/>
      <c r="P800" s="407"/>
      <c r="Q800" s="407"/>
      <c r="R800" s="49">
        <v>103743.75</v>
      </c>
      <c r="S800" s="407"/>
      <c r="T800" s="407"/>
      <c r="U800" s="407">
        <v>-159.92</v>
      </c>
      <c r="V800" s="407"/>
      <c r="W800" s="407"/>
      <c r="X800" s="407"/>
      <c r="Y800" s="407"/>
      <c r="Z800" s="407">
        <v>103583.83</v>
      </c>
      <c r="AA800" s="407">
        <f t="shared" si="100"/>
        <v>0</v>
      </c>
      <c r="AC800" s="501"/>
      <c r="AD800" s="512">
        <v>103583.83</v>
      </c>
      <c r="AE800" s="512">
        <v>108461</v>
      </c>
      <c r="AF800" s="512" t="s">
        <v>913</v>
      </c>
      <c r="AG800" s="507" t="s">
        <v>914</v>
      </c>
      <c r="AH800" s="507" t="s">
        <v>1016</v>
      </c>
    </row>
    <row r="801" spans="1:34" s="362" customFormat="1" ht="38.25">
      <c r="A801" s="607"/>
      <c r="B801" s="607"/>
      <c r="C801" s="135"/>
      <c r="D801" s="75" t="s">
        <v>1887</v>
      </c>
      <c r="E801" s="142">
        <v>80</v>
      </c>
      <c r="F801" s="143">
        <f t="shared" si="110"/>
        <v>1</v>
      </c>
      <c r="G801" s="142">
        <v>80</v>
      </c>
      <c r="H801" s="417">
        <v>3210</v>
      </c>
      <c r="I801" s="144">
        <f>19440-4430.4</f>
        <v>15009.6</v>
      </c>
      <c r="J801" s="144"/>
      <c r="K801" s="144"/>
      <c r="L801" s="49">
        <v>19440</v>
      </c>
      <c r="M801" s="144"/>
      <c r="N801" s="407"/>
      <c r="O801" s="407"/>
      <c r="P801" s="407"/>
      <c r="Q801" s="407"/>
      <c r="R801" s="49">
        <v>19440</v>
      </c>
      <c r="S801" s="407"/>
      <c r="T801" s="407"/>
      <c r="U801" s="407">
        <v>-4430.4</v>
      </c>
      <c r="V801" s="407"/>
      <c r="W801" s="407"/>
      <c r="X801" s="407"/>
      <c r="Y801" s="407"/>
      <c r="Z801" s="407">
        <v>15009.6</v>
      </c>
      <c r="AA801" s="407">
        <f t="shared" si="100"/>
        <v>0</v>
      </c>
      <c r="AC801" s="501"/>
      <c r="AD801" s="512">
        <v>15009.6</v>
      </c>
      <c r="AE801" s="512">
        <v>17260</v>
      </c>
      <c r="AF801" s="512" t="s">
        <v>915</v>
      </c>
      <c r="AG801" s="507" t="s">
        <v>916</v>
      </c>
      <c r="AH801" s="507" t="s">
        <v>1016</v>
      </c>
    </row>
    <row r="802" spans="1:34" s="362" customFormat="1" ht="38.25">
      <c r="A802" s="607"/>
      <c r="B802" s="607"/>
      <c r="C802" s="135"/>
      <c r="D802" s="75" t="s">
        <v>1690</v>
      </c>
      <c r="E802" s="142">
        <v>50</v>
      </c>
      <c r="F802" s="143">
        <f t="shared" si="110"/>
        <v>1</v>
      </c>
      <c r="G802" s="142">
        <v>50</v>
      </c>
      <c r="H802" s="417">
        <v>3210</v>
      </c>
      <c r="I802" s="144">
        <f>27456-664</f>
        <v>26792</v>
      </c>
      <c r="J802" s="144"/>
      <c r="K802" s="144"/>
      <c r="L802" s="49"/>
      <c r="M802" s="49">
        <v>27456</v>
      </c>
      <c r="N802" s="407"/>
      <c r="O802" s="407"/>
      <c r="P802" s="407"/>
      <c r="Q802" s="407"/>
      <c r="R802" s="49">
        <v>27456</v>
      </c>
      <c r="S802" s="407"/>
      <c r="T802" s="407"/>
      <c r="U802" s="407">
        <v>-664</v>
      </c>
      <c r="V802" s="407"/>
      <c r="W802" s="407"/>
      <c r="X802" s="407"/>
      <c r="Y802" s="407"/>
      <c r="Z802" s="407">
        <v>26792</v>
      </c>
      <c r="AA802" s="407">
        <f t="shared" si="100"/>
        <v>0</v>
      </c>
      <c r="AC802" s="501"/>
      <c r="AD802" s="512">
        <v>26792</v>
      </c>
      <c r="AE802" s="512">
        <v>29042</v>
      </c>
      <c r="AF802" s="512" t="s">
        <v>917</v>
      </c>
      <c r="AG802" s="507" t="s">
        <v>918</v>
      </c>
      <c r="AH802" s="507" t="s">
        <v>1016</v>
      </c>
    </row>
    <row r="803" spans="1:34" s="362" customFormat="1" ht="45.75" customHeight="1">
      <c r="A803" s="607"/>
      <c r="B803" s="607"/>
      <c r="C803" s="135"/>
      <c r="D803" s="75" t="s">
        <v>1962</v>
      </c>
      <c r="E803" s="142">
        <v>122.123</v>
      </c>
      <c r="F803" s="143">
        <f t="shared" si="110"/>
        <v>1</v>
      </c>
      <c r="G803" s="142">
        <v>122.123</v>
      </c>
      <c r="H803" s="417">
        <v>3210</v>
      </c>
      <c r="I803" s="144">
        <f>31680-667.67</f>
        <v>31012.33</v>
      </c>
      <c r="J803" s="144"/>
      <c r="K803" s="144"/>
      <c r="L803" s="49">
        <v>31680</v>
      </c>
      <c r="M803" s="144"/>
      <c r="N803" s="407"/>
      <c r="O803" s="407"/>
      <c r="P803" s="407"/>
      <c r="Q803" s="407"/>
      <c r="R803" s="407"/>
      <c r="S803" s="49">
        <v>31680</v>
      </c>
      <c r="T803" s="407"/>
      <c r="U803" s="407">
        <v>-667.67</v>
      </c>
      <c r="V803" s="407"/>
      <c r="W803" s="407"/>
      <c r="X803" s="407"/>
      <c r="Y803" s="407"/>
      <c r="Z803" s="407">
        <f>3887.53+27124.8</f>
        <v>31012.33</v>
      </c>
      <c r="AA803" s="407">
        <f t="shared" si="100"/>
        <v>0</v>
      </c>
      <c r="AC803" s="501"/>
      <c r="AD803" s="512">
        <v>31012.33</v>
      </c>
      <c r="AE803" s="512">
        <v>31013</v>
      </c>
      <c r="AF803" s="512" t="s">
        <v>919</v>
      </c>
      <c r="AG803" s="507" t="s">
        <v>1801</v>
      </c>
      <c r="AH803" s="507" t="s">
        <v>1016</v>
      </c>
    </row>
    <row r="804" spans="1:34" s="362" customFormat="1" ht="38.25">
      <c r="A804" s="607"/>
      <c r="B804" s="607"/>
      <c r="C804" s="135"/>
      <c r="D804" s="75" t="s">
        <v>1699</v>
      </c>
      <c r="E804" s="142">
        <v>31.68</v>
      </c>
      <c r="F804" s="143">
        <f t="shared" si="110"/>
        <v>1</v>
      </c>
      <c r="G804" s="142">
        <v>31.68</v>
      </c>
      <c r="H804" s="417">
        <v>3210</v>
      </c>
      <c r="I804" s="144">
        <f>32606-205.92</f>
        <v>32400.08</v>
      </c>
      <c r="J804" s="144"/>
      <c r="K804" s="144"/>
      <c r="L804" s="49">
        <v>32606</v>
      </c>
      <c r="M804" s="144"/>
      <c r="N804" s="407"/>
      <c r="O804" s="407"/>
      <c r="P804" s="407"/>
      <c r="Q804" s="407"/>
      <c r="R804" s="407"/>
      <c r="S804" s="49">
        <v>32606</v>
      </c>
      <c r="T804" s="407"/>
      <c r="U804" s="407">
        <v>-205.92</v>
      </c>
      <c r="V804" s="407"/>
      <c r="W804" s="407"/>
      <c r="X804" s="407"/>
      <c r="Y804" s="407"/>
      <c r="Z804" s="407">
        <f>2800.24+29599.84</f>
        <v>32400.08</v>
      </c>
      <c r="AA804" s="407">
        <f t="shared" si="100"/>
        <v>0</v>
      </c>
      <c r="AC804" s="501"/>
      <c r="AD804" s="512">
        <v>32400.08</v>
      </c>
      <c r="AE804" s="512">
        <v>32401</v>
      </c>
      <c r="AF804" s="512" t="s">
        <v>475</v>
      </c>
      <c r="AG804" s="507" t="s">
        <v>476</v>
      </c>
      <c r="AH804" s="507" t="s">
        <v>1016</v>
      </c>
    </row>
    <row r="805" spans="1:34" s="362" customFormat="1" ht="15.75">
      <c r="A805" s="607"/>
      <c r="B805" s="607"/>
      <c r="C805" s="135"/>
      <c r="D805" s="379" t="s">
        <v>1336</v>
      </c>
      <c r="E805" s="142">
        <v>88.322</v>
      </c>
      <c r="F805" s="143">
        <f t="shared" si="110"/>
        <v>1</v>
      </c>
      <c r="G805" s="142">
        <v>88.322</v>
      </c>
      <c r="H805" s="417">
        <v>3210</v>
      </c>
      <c r="I805" s="144">
        <v>25994</v>
      </c>
      <c r="J805" s="144"/>
      <c r="K805" s="144"/>
      <c r="L805" s="49">
        <v>25994</v>
      </c>
      <c r="M805" s="144"/>
      <c r="N805" s="407"/>
      <c r="O805" s="407"/>
      <c r="P805" s="407"/>
      <c r="Q805" s="407"/>
      <c r="R805" s="407"/>
      <c r="S805" s="407"/>
      <c r="T805" s="407"/>
      <c r="U805" s="407"/>
      <c r="V805" s="407"/>
      <c r="W805" s="407"/>
      <c r="X805" s="407"/>
      <c r="Y805" s="49">
        <v>25994</v>
      </c>
      <c r="Z805" s="407"/>
      <c r="AA805" s="407">
        <f t="shared" si="100"/>
        <v>0</v>
      </c>
      <c r="AC805" s="501"/>
      <c r="AD805" s="512">
        <v>25994</v>
      </c>
      <c r="AE805" s="512"/>
      <c r="AF805" s="512"/>
      <c r="AG805" s="507"/>
      <c r="AH805" s="507"/>
    </row>
    <row r="806" spans="1:34" s="362" customFormat="1" ht="15.75">
      <c r="A806" s="607"/>
      <c r="B806" s="607"/>
      <c r="C806" s="135"/>
      <c r="D806" s="75" t="s">
        <v>1700</v>
      </c>
      <c r="E806" s="142">
        <v>100</v>
      </c>
      <c r="F806" s="143">
        <f t="shared" si="110"/>
        <v>1</v>
      </c>
      <c r="G806" s="142">
        <v>100</v>
      </c>
      <c r="H806" s="417">
        <v>3210</v>
      </c>
      <c r="I806" s="144">
        <v>10560</v>
      </c>
      <c r="J806" s="144"/>
      <c r="K806" s="144"/>
      <c r="L806" s="49">
        <v>10560</v>
      </c>
      <c r="M806" s="144"/>
      <c r="N806" s="407"/>
      <c r="O806" s="407"/>
      <c r="P806" s="407"/>
      <c r="Q806" s="407"/>
      <c r="R806" s="407"/>
      <c r="S806" s="407"/>
      <c r="T806" s="407"/>
      <c r="U806" s="407"/>
      <c r="V806" s="407"/>
      <c r="W806" s="407"/>
      <c r="X806" s="407"/>
      <c r="Y806" s="49">
        <v>10560</v>
      </c>
      <c r="Z806" s="407"/>
      <c r="AA806" s="407">
        <f t="shared" si="100"/>
        <v>0</v>
      </c>
      <c r="AC806" s="501"/>
      <c r="AD806" s="512">
        <v>10560</v>
      </c>
      <c r="AE806" s="512"/>
      <c r="AF806" s="512"/>
      <c r="AG806" s="507"/>
      <c r="AH806" s="507"/>
    </row>
    <row r="807" spans="1:34" s="362" customFormat="1" ht="47.25">
      <c r="A807" s="607"/>
      <c r="B807" s="607"/>
      <c r="C807" s="135"/>
      <c r="D807" s="380" t="s">
        <v>241</v>
      </c>
      <c r="E807" s="142">
        <v>32.606</v>
      </c>
      <c r="F807" s="143">
        <f t="shared" si="110"/>
        <v>1</v>
      </c>
      <c r="G807" s="142">
        <v>32.606</v>
      </c>
      <c r="H807" s="417">
        <v>3210</v>
      </c>
      <c r="I807" s="144">
        <v>178000</v>
      </c>
      <c r="J807" s="144"/>
      <c r="K807" s="144"/>
      <c r="L807" s="49"/>
      <c r="M807" s="49">
        <v>178000</v>
      </c>
      <c r="N807" s="407"/>
      <c r="O807" s="407"/>
      <c r="P807" s="407"/>
      <c r="Q807" s="407"/>
      <c r="R807" s="407"/>
      <c r="S807" s="407"/>
      <c r="T807" s="407"/>
      <c r="U807" s="407"/>
      <c r="V807" s="407"/>
      <c r="W807" s="407">
        <v>178000</v>
      </c>
      <c r="X807" s="407"/>
      <c r="Y807" s="407"/>
      <c r="Z807" s="407"/>
      <c r="AA807" s="407">
        <f aca="true" t="shared" si="111" ref="AA807:AA875">N807+O807+P807+Q807+R807+S807+T807+U807+V807+W807+X807-Z807</f>
        <v>178000</v>
      </c>
      <c r="AC807" s="501"/>
      <c r="AD807" s="512">
        <v>178000</v>
      </c>
      <c r="AE807" s="512"/>
      <c r="AF807" s="512"/>
      <c r="AG807" s="507" t="s">
        <v>477</v>
      </c>
      <c r="AH807" s="507"/>
    </row>
    <row r="808" spans="1:34" s="362" customFormat="1" ht="47.25">
      <c r="A808" s="607"/>
      <c r="B808" s="607"/>
      <c r="C808" s="135"/>
      <c r="D808" s="75" t="s">
        <v>246</v>
      </c>
      <c r="E808" s="142">
        <v>120</v>
      </c>
      <c r="F808" s="143">
        <f t="shared" si="110"/>
        <v>1</v>
      </c>
      <c r="G808" s="142">
        <v>120</v>
      </c>
      <c r="H808" s="417">
        <v>3210</v>
      </c>
      <c r="I808" s="144">
        <v>28680</v>
      </c>
      <c r="J808" s="144"/>
      <c r="K808" s="144"/>
      <c r="L808" s="49"/>
      <c r="M808" s="49">
        <v>28680</v>
      </c>
      <c r="N808" s="407"/>
      <c r="O808" s="407"/>
      <c r="P808" s="407"/>
      <c r="Q808" s="407"/>
      <c r="R808" s="407"/>
      <c r="S808" s="407"/>
      <c r="T808" s="407"/>
      <c r="U808" s="407"/>
      <c r="V808" s="407"/>
      <c r="W808" s="407"/>
      <c r="X808" s="407">
        <v>28680</v>
      </c>
      <c r="Y808" s="407"/>
      <c r="Z808" s="407"/>
      <c r="AA808" s="407">
        <f t="shared" si="111"/>
        <v>28680</v>
      </c>
      <c r="AC808" s="501"/>
      <c r="AD808" s="512">
        <v>28680</v>
      </c>
      <c r="AE808" s="512"/>
      <c r="AF808" s="512"/>
      <c r="AG808" s="507" t="s">
        <v>477</v>
      </c>
      <c r="AH808" s="507"/>
    </row>
    <row r="809" spans="1:34" s="362" customFormat="1" ht="47.25">
      <c r="A809" s="607"/>
      <c r="B809" s="607"/>
      <c r="C809" s="135"/>
      <c r="D809" s="75" t="s">
        <v>1347</v>
      </c>
      <c r="E809" s="142">
        <v>72.87</v>
      </c>
      <c r="F809" s="143">
        <f t="shared" si="110"/>
        <v>1</v>
      </c>
      <c r="G809" s="142">
        <v>72.87</v>
      </c>
      <c r="H809" s="417">
        <v>3210</v>
      </c>
      <c r="I809" s="144">
        <v>152684</v>
      </c>
      <c r="J809" s="144"/>
      <c r="K809" s="144"/>
      <c r="L809" s="49">
        <v>152684</v>
      </c>
      <c r="M809" s="144"/>
      <c r="N809" s="407"/>
      <c r="O809" s="407"/>
      <c r="P809" s="407"/>
      <c r="Q809" s="407"/>
      <c r="R809" s="407"/>
      <c r="S809" s="407"/>
      <c r="T809" s="407"/>
      <c r="U809" s="407"/>
      <c r="V809" s="407"/>
      <c r="W809" s="407">
        <v>152684</v>
      </c>
      <c r="X809" s="407"/>
      <c r="Y809" s="407"/>
      <c r="Z809" s="407"/>
      <c r="AA809" s="407">
        <f t="shared" si="111"/>
        <v>152684</v>
      </c>
      <c r="AC809" s="501"/>
      <c r="AD809" s="512">
        <v>152684</v>
      </c>
      <c r="AE809" s="512"/>
      <c r="AF809" s="512"/>
      <c r="AG809" s="507" t="s">
        <v>477</v>
      </c>
      <c r="AH809" s="507"/>
    </row>
    <row r="810" spans="1:34" s="362" customFormat="1" ht="31.5">
      <c r="A810" s="607"/>
      <c r="B810" s="607"/>
      <c r="C810" s="135"/>
      <c r="D810" s="75" t="s">
        <v>1156</v>
      </c>
      <c r="E810" s="142">
        <v>19.44</v>
      </c>
      <c r="F810" s="143">
        <f t="shared" si="110"/>
        <v>1</v>
      </c>
      <c r="G810" s="142">
        <v>19.44</v>
      </c>
      <c r="H810" s="417">
        <v>3210</v>
      </c>
      <c r="I810" s="144">
        <v>39656</v>
      </c>
      <c r="J810" s="144"/>
      <c r="K810" s="144"/>
      <c r="L810" s="49">
        <v>39656</v>
      </c>
      <c r="M810" s="144"/>
      <c r="N810" s="407"/>
      <c r="O810" s="407"/>
      <c r="P810" s="407"/>
      <c r="Q810" s="407"/>
      <c r="R810" s="407"/>
      <c r="S810" s="407"/>
      <c r="T810" s="407"/>
      <c r="U810" s="407"/>
      <c r="V810" s="407"/>
      <c r="W810" s="407"/>
      <c r="X810" s="407"/>
      <c r="Y810" s="407">
        <v>39656</v>
      </c>
      <c r="Z810" s="407"/>
      <c r="AA810" s="407">
        <f t="shared" si="111"/>
        <v>0</v>
      </c>
      <c r="AC810" s="501"/>
      <c r="AD810" s="512">
        <v>39656</v>
      </c>
      <c r="AE810" s="512"/>
      <c r="AF810" s="512"/>
      <c r="AG810" s="507" t="s">
        <v>477</v>
      </c>
      <c r="AH810" s="507"/>
    </row>
    <row r="811" spans="1:34" s="362" customFormat="1" ht="15.75">
      <c r="A811" s="607"/>
      <c r="B811" s="607"/>
      <c r="C811" s="135"/>
      <c r="D811" s="75" t="s">
        <v>999</v>
      </c>
      <c r="E811" s="142">
        <v>27.456</v>
      </c>
      <c r="F811" s="143">
        <f t="shared" si="110"/>
        <v>1</v>
      </c>
      <c r="G811" s="142">
        <v>27.456</v>
      </c>
      <c r="H811" s="417">
        <v>3210</v>
      </c>
      <c r="I811" s="144">
        <v>38138</v>
      </c>
      <c r="J811" s="144"/>
      <c r="K811" s="144"/>
      <c r="L811" s="49">
        <v>38138</v>
      </c>
      <c r="M811" s="144"/>
      <c r="N811" s="407"/>
      <c r="O811" s="407"/>
      <c r="P811" s="407"/>
      <c r="Q811" s="407"/>
      <c r="R811" s="407"/>
      <c r="S811" s="407"/>
      <c r="T811" s="407"/>
      <c r="U811" s="407"/>
      <c r="V811" s="407"/>
      <c r="W811" s="407"/>
      <c r="X811" s="407">
        <v>38138</v>
      </c>
      <c r="Y811" s="407"/>
      <c r="Z811" s="407"/>
      <c r="AA811" s="407">
        <f t="shared" si="111"/>
        <v>38138</v>
      </c>
      <c r="AC811" s="501"/>
      <c r="AD811" s="512">
        <v>38138</v>
      </c>
      <c r="AE811" s="512"/>
      <c r="AF811" s="512"/>
      <c r="AG811" s="507" t="s">
        <v>477</v>
      </c>
      <c r="AH811" s="507"/>
    </row>
    <row r="812" spans="1:34" s="362" customFormat="1" ht="31.5">
      <c r="A812" s="607"/>
      <c r="B812" s="607"/>
      <c r="C812" s="135"/>
      <c r="D812" s="75" t="s">
        <v>832</v>
      </c>
      <c r="E812" s="142">
        <v>100</v>
      </c>
      <c r="F812" s="143">
        <f t="shared" si="110"/>
        <v>1</v>
      </c>
      <c r="G812" s="142">
        <v>100</v>
      </c>
      <c r="H812" s="417">
        <v>3210</v>
      </c>
      <c r="I812" s="144">
        <v>50000</v>
      </c>
      <c r="J812" s="144"/>
      <c r="K812" s="144"/>
      <c r="L812" s="49">
        <v>50000</v>
      </c>
      <c r="M812" s="144"/>
      <c r="N812" s="407"/>
      <c r="O812" s="407"/>
      <c r="P812" s="407"/>
      <c r="Q812" s="407"/>
      <c r="R812" s="407"/>
      <c r="S812" s="407"/>
      <c r="T812" s="407"/>
      <c r="U812" s="407"/>
      <c r="V812" s="407">
        <v>50000</v>
      </c>
      <c r="W812" s="407"/>
      <c r="X812" s="407"/>
      <c r="Y812" s="407"/>
      <c r="Z812" s="407"/>
      <c r="AA812" s="407">
        <f t="shared" si="111"/>
        <v>50000</v>
      </c>
      <c r="AC812" s="501"/>
      <c r="AD812" s="512">
        <v>50000</v>
      </c>
      <c r="AE812" s="512"/>
      <c r="AF812" s="512"/>
      <c r="AG812" s="507" t="s">
        <v>477</v>
      </c>
      <c r="AH812" s="507"/>
    </row>
    <row r="813" spans="1:34" s="362" customFormat="1" ht="31.5">
      <c r="A813" s="607"/>
      <c r="B813" s="607"/>
      <c r="C813" s="135"/>
      <c r="D813" s="75" t="s">
        <v>121</v>
      </c>
      <c r="E813" s="142"/>
      <c r="F813" s="143"/>
      <c r="G813" s="142"/>
      <c r="H813" s="417">
        <v>3210</v>
      </c>
      <c r="I813" s="144">
        <f>28000+23000</f>
        <v>51000</v>
      </c>
      <c r="J813" s="144"/>
      <c r="K813" s="144"/>
      <c r="L813" s="49">
        <v>28000</v>
      </c>
      <c r="M813" s="144"/>
      <c r="N813" s="407"/>
      <c r="O813" s="407"/>
      <c r="P813" s="407"/>
      <c r="Q813" s="407"/>
      <c r="R813" s="407"/>
      <c r="S813" s="407"/>
      <c r="T813" s="407"/>
      <c r="U813" s="407"/>
      <c r="V813" s="407">
        <v>28000</v>
      </c>
      <c r="W813" s="407"/>
      <c r="X813" s="407">
        <v>23000</v>
      </c>
      <c r="Y813" s="407"/>
      <c r="Z813" s="407"/>
      <c r="AA813" s="407">
        <f t="shared" si="111"/>
        <v>51000</v>
      </c>
      <c r="AC813" s="501"/>
      <c r="AD813" s="512">
        <v>28000</v>
      </c>
      <c r="AE813" s="512"/>
      <c r="AF813" s="512"/>
      <c r="AG813" s="507" t="s">
        <v>477</v>
      </c>
      <c r="AH813" s="507"/>
    </row>
    <row r="814" spans="1:34" s="362" customFormat="1" ht="38.25">
      <c r="A814" s="607"/>
      <c r="B814" s="607"/>
      <c r="C814" s="135"/>
      <c r="D814" s="75" t="s">
        <v>1388</v>
      </c>
      <c r="E814" s="142"/>
      <c r="F814" s="143"/>
      <c r="G814" s="142"/>
      <c r="H814" s="417">
        <v>3210</v>
      </c>
      <c r="I814" s="144">
        <f>80000-3254.11</f>
        <v>76745.89</v>
      </c>
      <c r="J814" s="144"/>
      <c r="K814" s="144"/>
      <c r="L814" s="49">
        <v>80000</v>
      </c>
      <c r="M814" s="144"/>
      <c r="N814" s="407"/>
      <c r="O814" s="407"/>
      <c r="P814" s="407"/>
      <c r="Q814" s="407"/>
      <c r="R814" s="407"/>
      <c r="S814" s="407">
        <v>80000</v>
      </c>
      <c r="T814" s="407"/>
      <c r="U814" s="407">
        <v>-3254.11</v>
      </c>
      <c r="V814" s="407"/>
      <c r="W814" s="407"/>
      <c r="X814" s="407"/>
      <c r="Y814" s="407"/>
      <c r="Z814" s="407">
        <f>3624.02+73121.87</f>
        <v>76745.89</v>
      </c>
      <c r="AA814" s="407">
        <f t="shared" si="111"/>
        <v>0</v>
      </c>
      <c r="AC814" s="501"/>
      <c r="AD814" s="512">
        <v>76745.89</v>
      </c>
      <c r="AE814" s="512">
        <v>77716</v>
      </c>
      <c r="AF814" s="512" t="s">
        <v>478</v>
      </c>
      <c r="AG814" s="507" t="s">
        <v>479</v>
      </c>
      <c r="AH814" s="507" t="s">
        <v>1016</v>
      </c>
    </row>
    <row r="815" spans="1:34" s="362" customFormat="1" ht="31.5">
      <c r="A815" s="607"/>
      <c r="B815" s="607"/>
      <c r="C815" s="135"/>
      <c r="D815" s="378" t="s">
        <v>1389</v>
      </c>
      <c r="E815" s="142">
        <v>296.733</v>
      </c>
      <c r="F815" s="143">
        <f>100%-((E815-G815)/E815)</f>
        <v>1</v>
      </c>
      <c r="G815" s="142">
        <v>296.733</v>
      </c>
      <c r="H815" s="417">
        <v>3210</v>
      </c>
      <c r="I815" s="144">
        <v>30000</v>
      </c>
      <c r="J815" s="144"/>
      <c r="K815" s="144"/>
      <c r="L815" s="49">
        <v>30000</v>
      </c>
      <c r="M815" s="144"/>
      <c r="N815" s="407"/>
      <c r="O815" s="407"/>
      <c r="P815" s="407"/>
      <c r="Q815" s="407"/>
      <c r="R815" s="407"/>
      <c r="S815" s="407"/>
      <c r="T815" s="407"/>
      <c r="U815" s="407"/>
      <c r="V815" s="407"/>
      <c r="W815" s="407"/>
      <c r="X815" s="407"/>
      <c r="Y815" s="407">
        <v>30000</v>
      </c>
      <c r="Z815" s="407"/>
      <c r="AA815" s="407">
        <f t="shared" si="111"/>
        <v>0</v>
      </c>
      <c r="AC815" s="501"/>
      <c r="AD815" s="512">
        <v>30000</v>
      </c>
      <c r="AE815" s="512"/>
      <c r="AF815" s="512"/>
      <c r="AG815" s="507" t="s">
        <v>477</v>
      </c>
      <c r="AH815" s="507"/>
    </row>
    <row r="816" spans="1:34" s="362" customFormat="1" ht="54" customHeight="1">
      <c r="A816" s="607"/>
      <c r="B816" s="607"/>
      <c r="C816" s="135"/>
      <c r="D816" s="75" t="s">
        <v>1201</v>
      </c>
      <c r="E816" s="142">
        <v>103.74375</v>
      </c>
      <c r="F816" s="143">
        <f>100%-((E816-G816)/E816)</f>
        <v>1</v>
      </c>
      <c r="G816" s="142">
        <v>103.74375</v>
      </c>
      <c r="H816" s="417">
        <v>3210</v>
      </c>
      <c r="I816" s="144">
        <f>111122-2306.13</f>
        <v>108815.87</v>
      </c>
      <c r="J816" s="144"/>
      <c r="K816" s="144"/>
      <c r="L816" s="49">
        <v>111122</v>
      </c>
      <c r="M816" s="144"/>
      <c r="N816" s="407"/>
      <c r="O816" s="407"/>
      <c r="P816" s="407"/>
      <c r="Q816" s="407"/>
      <c r="R816" s="407"/>
      <c r="S816" s="407">
        <v>111122</v>
      </c>
      <c r="T816" s="407"/>
      <c r="U816" s="407">
        <v>-2306.13</v>
      </c>
      <c r="V816" s="407"/>
      <c r="W816" s="407"/>
      <c r="X816" s="407"/>
      <c r="Y816" s="407"/>
      <c r="Z816" s="407">
        <v>108815.87</v>
      </c>
      <c r="AA816" s="407">
        <f t="shared" si="111"/>
        <v>0</v>
      </c>
      <c r="AC816" s="501"/>
      <c r="AD816" s="512">
        <v>108815.87</v>
      </c>
      <c r="AE816" s="512">
        <v>108817</v>
      </c>
      <c r="AF816" s="512" t="s">
        <v>480</v>
      </c>
      <c r="AG816" s="507" t="s">
        <v>481</v>
      </c>
      <c r="AH816" s="507" t="s">
        <v>1016</v>
      </c>
    </row>
    <row r="817" spans="1:34" s="362" customFormat="1" ht="38.25">
      <c r="A817" s="607"/>
      <c r="B817" s="607"/>
      <c r="C817" s="135"/>
      <c r="D817" s="75" t="s">
        <v>1202</v>
      </c>
      <c r="E817" s="142"/>
      <c r="F817" s="143"/>
      <c r="G817" s="142"/>
      <c r="H817" s="417">
        <v>3210</v>
      </c>
      <c r="I817" s="144">
        <v>120000</v>
      </c>
      <c r="J817" s="144"/>
      <c r="K817" s="144"/>
      <c r="L817" s="49">
        <v>120000</v>
      </c>
      <c r="M817" s="144"/>
      <c r="N817" s="407"/>
      <c r="O817" s="407"/>
      <c r="P817" s="407"/>
      <c r="Q817" s="407"/>
      <c r="R817" s="407"/>
      <c r="S817" s="407"/>
      <c r="T817" s="407">
        <v>120000</v>
      </c>
      <c r="U817" s="407"/>
      <c r="V817" s="407"/>
      <c r="W817" s="407"/>
      <c r="X817" s="407"/>
      <c r="Y817" s="407"/>
      <c r="Z817" s="407">
        <v>108433.64</v>
      </c>
      <c r="AA817" s="407">
        <f t="shared" si="111"/>
        <v>11566.36</v>
      </c>
      <c r="AC817" s="501"/>
      <c r="AD817" s="512">
        <v>120000</v>
      </c>
      <c r="AE817" s="512"/>
      <c r="AF817" s="512" t="s">
        <v>1304</v>
      </c>
      <c r="AG817" s="507" t="s">
        <v>482</v>
      </c>
      <c r="AH817" s="507"/>
    </row>
    <row r="818" spans="1:34" s="362" customFormat="1" ht="38.25">
      <c r="A818" s="607"/>
      <c r="B818" s="607"/>
      <c r="C818" s="135"/>
      <c r="D818" s="75" t="s">
        <v>422</v>
      </c>
      <c r="E818" s="142"/>
      <c r="F818" s="143"/>
      <c r="G818" s="142"/>
      <c r="H818" s="417">
        <v>3210</v>
      </c>
      <c r="I818" s="144">
        <v>200000</v>
      </c>
      <c r="J818" s="144"/>
      <c r="K818" s="144"/>
      <c r="L818" s="49">
        <v>200000</v>
      </c>
      <c r="M818" s="144"/>
      <c r="N818" s="407"/>
      <c r="O818" s="407"/>
      <c r="P818" s="407"/>
      <c r="Q818" s="407"/>
      <c r="R818" s="407">
        <v>200000</v>
      </c>
      <c r="S818" s="407"/>
      <c r="T818" s="407"/>
      <c r="U818" s="407"/>
      <c r="V818" s="407"/>
      <c r="W818" s="407"/>
      <c r="X818" s="407"/>
      <c r="Y818" s="407"/>
      <c r="Z818" s="407">
        <v>199934.33</v>
      </c>
      <c r="AA818" s="407">
        <f t="shared" si="111"/>
        <v>65.67</v>
      </c>
      <c r="AC818" s="501"/>
      <c r="AD818" s="512">
        <v>200000</v>
      </c>
      <c r="AE818" s="512">
        <v>207636</v>
      </c>
      <c r="AF818" s="512" t="s">
        <v>483</v>
      </c>
      <c r="AG818" s="507" t="s">
        <v>484</v>
      </c>
      <c r="AH818" s="507" t="s">
        <v>1016</v>
      </c>
    </row>
    <row r="819" spans="1:34" s="362" customFormat="1" ht="38.25">
      <c r="A819" s="607"/>
      <c r="B819" s="607"/>
      <c r="C819" s="135"/>
      <c r="D819" s="75" t="s">
        <v>1203</v>
      </c>
      <c r="E819" s="142"/>
      <c r="F819" s="143"/>
      <c r="G819" s="142"/>
      <c r="H819" s="417">
        <v>3210</v>
      </c>
      <c r="I819" s="144">
        <f>50000-18000</f>
        <v>32000</v>
      </c>
      <c r="J819" s="144"/>
      <c r="K819" s="144"/>
      <c r="L819" s="49">
        <v>50000</v>
      </c>
      <c r="M819" s="144"/>
      <c r="N819" s="407"/>
      <c r="O819" s="407"/>
      <c r="P819" s="407"/>
      <c r="Q819" s="407"/>
      <c r="R819" s="407"/>
      <c r="S819" s="407"/>
      <c r="T819" s="407">
        <v>50000</v>
      </c>
      <c r="U819" s="407"/>
      <c r="V819" s="407"/>
      <c r="W819" s="407"/>
      <c r="X819" s="407">
        <v>-18000</v>
      </c>
      <c r="Y819" s="407"/>
      <c r="Z819" s="407">
        <f>6827.9+22255.82</f>
        <v>29083.72</v>
      </c>
      <c r="AA819" s="407">
        <f t="shared" si="111"/>
        <v>2916.28</v>
      </c>
      <c r="AC819" s="501"/>
      <c r="AD819" s="512">
        <v>50000</v>
      </c>
      <c r="AE819" s="512">
        <v>50000</v>
      </c>
      <c r="AF819" s="512" t="s">
        <v>1304</v>
      </c>
      <c r="AG819" s="507" t="s">
        <v>485</v>
      </c>
      <c r="AH819" s="507"/>
    </row>
    <row r="820" spans="1:34" s="362" customFormat="1" ht="42" customHeight="1">
      <c r="A820" s="607"/>
      <c r="B820" s="607"/>
      <c r="C820" s="135"/>
      <c r="D820" s="75" t="s">
        <v>839</v>
      </c>
      <c r="E820" s="142"/>
      <c r="F820" s="143"/>
      <c r="G820" s="142"/>
      <c r="H820" s="417">
        <v>3210</v>
      </c>
      <c r="I820" s="144">
        <f>1000000-9187.88</f>
        <v>990812.12</v>
      </c>
      <c r="J820" s="144"/>
      <c r="K820" s="144"/>
      <c r="L820" s="49">
        <v>1000000</v>
      </c>
      <c r="M820" s="144"/>
      <c r="N820" s="407"/>
      <c r="O820" s="407"/>
      <c r="P820" s="407"/>
      <c r="Q820" s="407"/>
      <c r="R820" s="407"/>
      <c r="S820" s="407">
        <v>1000000</v>
      </c>
      <c r="T820" s="407"/>
      <c r="U820" s="407">
        <f>1000000-1000000-9187.88</f>
        <v>-9187.88</v>
      </c>
      <c r="V820" s="407"/>
      <c r="W820" s="407">
        <f>1000000-1000000</f>
        <v>0</v>
      </c>
      <c r="X820" s="407"/>
      <c r="Y820" s="407"/>
      <c r="Z820" s="407">
        <f>990812.12-990812.12+990812.12</f>
        <v>990812.12</v>
      </c>
      <c r="AA820" s="407">
        <f t="shared" si="111"/>
        <v>0</v>
      </c>
      <c r="AC820" s="501"/>
      <c r="AD820" s="512">
        <v>990812.12</v>
      </c>
      <c r="AE820" s="512">
        <v>990814</v>
      </c>
      <c r="AF820" s="512" t="s">
        <v>486</v>
      </c>
      <c r="AG820" s="507" t="s">
        <v>487</v>
      </c>
      <c r="AH820" s="507" t="s">
        <v>1016</v>
      </c>
    </row>
    <row r="821" spans="1:34" s="362" customFormat="1" ht="15.75">
      <c r="A821" s="607"/>
      <c r="B821" s="607"/>
      <c r="C821" s="135"/>
      <c r="D821" s="75" t="s">
        <v>1204</v>
      </c>
      <c r="E821" s="142"/>
      <c r="F821" s="143"/>
      <c r="G821" s="142"/>
      <c r="H821" s="417">
        <v>3210</v>
      </c>
      <c r="I821" s="144">
        <v>134000</v>
      </c>
      <c r="J821" s="144"/>
      <c r="K821" s="144"/>
      <c r="L821" s="49">
        <v>134000</v>
      </c>
      <c r="M821" s="144"/>
      <c r="N821" s="407"/>
      <c r="O821" s="407"/>
      <c r="P821" s="407"/>
      <c r="Q821" s="407"/>
      <c r="R821" s="407"/>
      <c r="S821" s="407"/>
      <c r="T821" s="407"/>
      <c r="U821" s="407"/>
      <c r="V821" s="407">
        <v>134000</v>
      </c>
      <c r="W821" s="407"/>
      <c r="X821" s="407"/>
      <c r="Y821" s="407"/>
      <c r="Z821" s="407"/>
      <c r="AA821" s="407">
        <f t="shared" si="111"/>
        <v>134000</v>
      </c>
      <c r="AC821" s="501"/>
      <c r="AD821" s="512">
        <v>134000</v>
      </c>
      <c r="AE821" s="512">
        <v>134000</v>
      </c>
      <c r="AF821" s="512"/>
      <c r="AG821" s="507"/>
      <c r="AH821" s="507"/>
    </row>
    <row r="822" spans="1:34" s="362" customFormat="1" ht="31.5">
      <c r="A822" s="607"/>
      <c r="B822" s="607"/>
      <c r="C822" s="135"/>
      <c r="D822" s="75" t="s">
        <v>1359</v>
      </c>
      <c r="E822" s="142"/>
      <c r="F822" s="143"/>
      <c r="G822" s="142"/>
      <c r="H822" s="417">
        <v>3210</v>
      </c>
      <c r="I822" s="144">
        <f>407000+73000</f>
        <v>480000</v>
      </c>
      <c r="J822" s="144"/>
      <c r="K822" s="144"/>
      <c r="L822" s="49">
        <v>407000</v>
      </c>
      <c r="M822" s="144"/>
      <c r="N822" s="407"/>
      <c r="O822" s="407"/>
      <c r="P822" s="407"/>
      <c r="Q822" s="407"/>
      <c r="R822" s="407"/>
      <c r="S822" s="407"/>
      <c r="T822" s="407"/>
      <c r="U822" s="407">
        <v>407000</v>
      </c>
      <c r="V822" s="407"/>
      <c r="W822" s="407"/>
      <c r="X822" s="407">
        <v>73000</v>
      </c>
      <c r="Y822" s="407"/>
      <c r="Z822" s="407"/>
      <c r="AA822" s="407">
        <f t="shared" si="111"/>
        <v>480000</v>
      </c>
      <c r="AC822" s="501"/>
      <c r="AD822" s="512">
        <v>407000</v>
      </c>
      <c r="AE822" s="512"/>
      <c r="AF822" s="512"/>
      <c r="AG822" s="507" t="s">
        <v>488</v>
      </c>
      <c r="AH822" s="507"/>
    </row>
    <row r="823" spans="1:34" s="362" customFormat="1" ht="31.5">
      <c r="A823" s="607"/>
      <c r="B823" s="607"/>
      <c r="C823" s="135"/>
      <c r="D823" s="378" t="s">
        <v>1939</v>
      </c>
      <c r="E823" s="142"/>
      <c r="F823" s="143"/>
      <c r="G823" s="142"/>
      <c r="H823" s="417">
        <v>3210</v>
      </c>
      <c r="I823" s="144">
        <v>123500</v>
      </c>
      <c r="J823" s="144"/>
      <c r="K823" s="144"/>
      <c r="L823" s="49">
        <v>123500</v>
      </c>
      <c r="M823" s="144"/>
      <c r="N823" s="407"/>
      <c r="O823" s="407"/>
      <c r="P823" s="407"/>
      <c r="Q823" s="407"/>
      <c r="R823" s="407"/>
      <c r="S823" s="407"/>
      <c r="T823" s="407">
        <v>123500</v>
      </c>
      <c r="U823" s="407"/>
      <c r="V823" s="407"/>
      <c r="W823" s="407"/>
      <c r="X823" s="407"/>
      <c r="Y823" s="407"/>
      <c r="Z823" s="407">
        <v>121664.36</v>
      </c>
      <c r="AA823" s="407">
        <f t="shared" si="111"/>
        <v>1835.64</v>
      </c>
      <c r="AC823" s="501"/>
      <c r="AD823" s="512">
        <v>123500</v>
      </c>
      <c r="AE823" s="512">
        <v>123500</v>
      </c>
      <c r="AF823" s="512"/>
      <c r="AG823" s="507" t="s">
        <v>489</v>
      </c>
      <c r="AH823" s="507"/>
    </row>
    <row r="824" spans="1:34" s="362" customFormat="1" ht="31.5">
      <c r="A824" s="607"/>
      <c r="B824" s="607"/>
      <c r="C824" s="135"/>
      <c r="D824" s="75" t="s">
        <v>35</v>
      </c>
      <c r="E824" s="142"/>
      <c r="F824" s="143"/>
      <c r="G824" s="142"/>
      <c r="H824" s="417">
        <v>3210</v>
      </c>
      <c r="I824" s="144">
        <v>108978</v>
      </c>
      <c r="J824" s="144"/>
      <c r="K824" s="144"/>
      <c r="L824" s="49">
        <v>108978</v>
      </c>
      <c r="M824" s="144"/>
      <c r="N824" s="407"/>
      <c r="O824" s="407"/>
      <c r="P824" s="407"/>
      <c r="Q824" s="407"/>
      <c r="R824" s="407"/>
      <c r="S824" s="407"/>
      <c r="T824" s="407"/>
      <c r="U824" s="407"/>
      <c r="V824" s="407"/>
      <c r="W824" s="407">
        <v>108978</v>
      </c>
      <c r="X824" s="407"/>
      <c r="Y824" s="407"/>
      <c r="Z824" s="407"/>
      <c r="AA824" s="407">
        <f t="shared" si="111"/>
        <v>108978</v>
      </c>
      <c r="AC824" s="501"/>
      <c r="AD824" s="512">
        <v>108978</v>
      </c>
      <c r="AE824" s="512">
        <v>108978</v>
      </c>
      <c r="AF824" s="512"/>
      <c r="AG824" s="507" t="s">
        <v>489</v>
      </c>
      <c r="AH824" s="507"/>
    </row>
    <row r="825" spans="1:34" s="362" customFormat="1" ht="31.5">
      <c r="A825" s="607"/>
      <c r="B825" s="607"/>
      <c r="C825" s="135"/>
      <c r="D825" s="75" t="s">
        <v>36</v>
      </c>
      <c r="E825" s="142"/>
      <c r="F825" s="143"/>
      <c r="G825" s="142"/>
      <c r="H825" s="417">
        <v>3210</v>
      </c>
      <c r="I825" s="144">
        <v>50000</v>
      </c>
      <c r="J825" s="144"/>
      <c r="K825" s="144"/>
      <c r="L825" s="49">
        <v>50000</v>
      </c>
      <c r="M825" s="144"/>
      <c r="N825" s="407"/>
      <c r="O825" s="407"/>
      <c r="P825" s="407"/>
      <c r="Q825" s="407"/>
      <c r="R825" s="407"/>
      <c r="S825" s="407"/>
      <c r="T825" s="407"/>
      <c r="U825" s="407">
        <v>50000</v>
      </c>
      <c r="V825" s="407"/>
      <c r="W825" s="407"/>
      <c r="X825" s="407"/>
      <c r="Y825" s="407"/>
      <c r="Z825" s="407"/>
      <c r="AA825" s="407">
        <f t="shared" si="111"/>
        <v>50000</v>
      </c>
      <c r="AC825" s="501"/>
      <c r="AD825" s="512">
        <v>50000</v>
      </c>
      <c r="AE825" s="512">
        <v>50000</v>
      </c>
      <c r="AF825" s="512"/>
      <c r="AG825" s="507" t="s">
        <v>489</v>
      </c>
      <c r="AH825" s="507"/>
    </row>
    <row r="826" spans="1:34" s="30" customFormat="1" ht="15.75">
      <c r="A826" s="607"/>
      <c r="B826" s="607"/>
      <c r="C826" s="266"/>
      <c r="D826" s="225" t="s">
        <v>1604</v>
      </c>
      <c r="E826" s="142"/>
      <c r="F826" s="143"/>
      <c r="G826" s="142"/>
      <c r="H826" s="417"/>
      <c r="I826" s="169">
        <f>I829</f>
        <v>10634</v>
      </c>
      <c r="J826" s="169">
        <f aca="true" t="shared" si="112" ref="J826:Z826">J829</f>
        <v>0</v>
      </c>
      <c r="K826" s="169">
        <f t="shared" si="112"/>
        <v>0</v>
      </c>
      <c r="L826" s="169">
        <f t="shared" si="112"/>
        <v>0</v>
      </c>
      <c r="M826" s="169">
        <f t="shared" si="112"/>
        <v>0</v>
      </c>
      <c r="N826" s="169">
        <f t="shared" si="112"/>
        <v>0</v>
      </c>
      <c r="O826" s="169">
        <f t="shared" si="112"/>
        <v>0</v>
      </c>
      <c r="P826" s="169">
        <f t="shared" si="112"/>
        <v>0</v>
      </c>
      <c r="Q826" s="169">
        <f t="shared" si="112"/>
        <v>0</v>
      </c>
      <c r="R826" s="169">
        <f t="shared" si="112"/>
        <v>0</v>
      </c>
      <c r="S826" s="169">
        <f t="shared" si="112"/>
        <v>0</v>
      </c>
      <c r="T826" s="169">
        <f t="shared" si="112"/>
        <v>0</v>
      </c>
      <c r="U826" s="169">
        <f t="shared" si="112"/>
        <v>0</v>
      </c>
      <c r="V826" s="169">
        <f t="shared" si="112"/>
        <v>0</v>
      </c>
      <c r="W826" s="169">
        <f t="shared" si="112"/>
        <v>0</v>
      </c>
      <c r="X826" s="169">
        <f t="shared" si="112"/>
        <v>10634</v>
      </c>
      <c r="Y826" s="169">
        <f t="shared" si="112"/>
        <v>0</v>
      </c>
      <c r="Z826" s="169">
        <f t="shared" si="112"/>
        <v>0</v>
      </c>
      <c r="AA826" s="407">
        <f t="shared" si="111"/>
        <v>10634</v>
      </c>
      <c r="AC826" s="59"/>
      <c r="AD826" s="512"/>
      <c r="AE826" s="512"/>
      <c r="AF826" s="512"/>
      <c r="AG826" s="507"/>
      <c r="AH826" s="507"/>
    </row>
    <row r="827" spans="1:34" s="30" customFormat="1" ht="15.75" hidden="1">
      <c r="A827" s="607"/>
      <c r="B827" s="607"/>
      <c r="C827" s="266" t="s">
        <v>1605</v>
      </c>
      <c r="D827" s="276" t="s">
        <v>1609</v>
      </c>
      <c r="E827" s="142">
        <v>523.75048</v>
      </c>
      <c r="F827" s="143">
        <f>100%-((E827-G827)/E827)</f>
        <v>0.18</v>
      </c>
      <c r="G827" s="142">
        <v>94.526</v>
      </c>
      <c r="H827" s="417">
        <v>3210</v>
      </c>
      <c r="I827" s="144">
        <f>133700-133700</f>
        <v>0</v>
      </c>
      <c r="J827" s="144"/>
      <c r="K827" s="169"/>
      <c r="L827" s="144">
        <v>133700</v>
      </c>
      <c r="M827" s="169"/>
      <c r="N827" s="407"/>
      <c r="O827" s="439"/>
      <c r="P827" s="439"/>
      <c r="Q827" s="439"/>
      <c r="R827" s="439">
        <v>10000</v>
      </c>
      <c r="S827" s="439">
        <v>70000</v>
      </c>
      <c r="T827" s="439">
        <v>53700</v>
      </c>
      <c r="U827" s="439">
        <v>-133700</v>
      </c>
      <c r="V827" s="439"/>
      <c r="W827" s="439"/>
      <c r="X827" s="439"/>
      <c r="Y827" s="439"/>
      <c r="Z827" s="439"/>
      <c r="AA827" s="407">
        <f t="shared" si="111"/>
        <v>0</v>
      </c>
      <c r="AC827" s="59"/>
      <c r="AD827" s="512"/>
      <c r="AE827" s="512"/>
      <c r="AF827" s="512"/>
      <c r="AG827" s="507"/>
      <c r="AH827" s="507"/>
    </row>
    <row r="828" spans="1:34" s="30" customFormat="1" ht="47.25" hidden="1">
      <c r="A828" s="607"/>
      <c r="B828" s="607"/>
      <c r="C828" s="266" t="s">
        <v>1608</v>
      </c>
      <c r="D828" s="276" t="s">
        <v>1259</v>
      </c>
      <c r="E828" s="142">
        <v>200</v>
      </c>
      <c r="F828" s="143">
        <f>100%-((E828-G828)/E828)</f>
        <v>1</v>
      </c>
      <c r="G828" s="142">
        <v>200</v>
      </c>
      <c r="H828" s="417">
        <v>3210</v>
      </c>
      <c r="I828" s="144">
        <f>150000-150000</f>
        <v>0</v>
      </c>
      <c r="J828" s="144"/>
      <c r="K828" s="169"/>
      <c r="L828" s="144">
        <v>150000</v>
      </c>
      <c r="M828" s="169"/>
      <c r="N828" s="407"/>
      <c r="O828" s="439"/>
      <c r="P828" s="439"/>
      <c r="Q828" s="439"/>
      <c r="R828" s="439"/>
      <c r="S828" s="439"/>
      <c r="T828" s="439"/>
      <c r="U828" s="439">
        <f>10000-10000</f>
        <v>0</v>
      </c>
      <c r="V828" s="439">
        <f>100000-100000</f>
        <v>0</v>
      </c>
      <c r="W828" s="439">
        <f>40000-40000</f>
        <v>0</v>
      </c>
      <c r="X828" s="439"/>
      <c r="Y828" s="439"/>
      <c r="Z828" s="439"/>
      <c r="AA828" s="407">
        <f t="shared" si="111"/>
        <v>0</v>
      </c>
      <c r="AC828" s="59"/>
      <c r="AD828" s="512"/>
      <c r="AE828" s="512"/>
      <c r="AF828" s="512"/>
      <c r="AG828" s="507"/>
      <c r="AH828" s="507"/>
    </row>
    <row r="829" spans="1:34" s="30" customFormat="1" ht="47.25">
      <c r="A829" s="607"/>
      <c r="B829" s="565"/>
      <c r="C829" s="266"/>
      <c r="D829" s="276" t="s">
        <v>216</v>
      </c>
      <c r="E829" s="142"/>
      <c r="F829" s="143"/>
      <c r="G829" s="142"/>
      <c r="H829" s="417">
        <v>3220</v>
      </c>
      <c r="I829" s="144">
        <v>10634</v>
      </c>
      <c r="J829" s="144"/>
      <c r="K829" s="169"/>
      <c r="L829" s="144"/>
      <c r="M829" s="169"/>
      <c r="N829" s="407"/>
      <c r="O829" s="439"/>
      <c r="P829" s="439"/>
      <c r="Q829" s="439"/>
      <c r="R829" s="439"/>
      <c r="S829" s="439"/>
      <c r="T829" s="439"/>
      <c r="U829" s="439"/>
      <c r="V829" s="439"/>
      <c r="W829" s="439"/>
      <c r="X829" s="439">
        <v>10634</v>
      </c>
      <c r="Y829" s="439"/>
      <c r="Z829" s="439"/>
      <c r="AA829" s="407">
        <f t="shared" si="111"/>
        <v>10634</v>
      </c>
      <c r="AC829" s="59"/>
      <c r="AD829" s="512"/>
      <c r="AE829" s="512"/>
      <c r="AF829" s="512"/>
      <c r="AG829" s="507"/>
      <c r="AH829" s="507"/>
    </row>
    <row r="830" spans="1:34" s="30" customFormat="1" ht="22.5" customHeight="1">
      <c r="A830" s="607"/>
      <c r="B830" s="565"/>
      <c r="C830" s="406"/>
      <c r="D830" s="283" t="s">
        <v>1890</v>
      </c>
      <c r="E830" s="142"/>
      <c r="F830" s="143"/>
      <c r="G830" s="142"/>
      <c r="H830" s="417"/>
      <c r="I830" s="169">
        <f>SUM(I831:I831)</f>
        <v>8796.32</v>
      </c>
      <c r="J830" s="169">
        <f>SUM(J831:J831)</f>
        <v>0</v>
      </c>
      <c r="K830" s="169">
        <f>SUM(K831:K831)</f>
        <v>0</v>
      </c>
      <c r="L830" s="169">
        <f>SUM(L831:L831)</f>
        <v>145867</v>
      </c>
      <c r="M830" s="169">
        <f>SUM(M831:M831)</f>
        <v>0</v>
      </c>
      <c r="N830" s="169">
        <f aca="true" t="shared" si="113" ref="N830:Z830">SUM(N831:N831)</f>
        <v>0</v>
      </c>
      <c r="O830" s="169">
        <f t="shared" si="113"/>
        <v>0</v>
      </c>
      <c r="P830" s="169">
        <f t="shared" si="113"/>
        <v>0</v>
      </c>
      <c r="Q830" s="169">
        <f t="shared" si="113"/>
        <v>0</v>
      </c>
      <c r="R830" s="169">
        <f t="shared" si="113"/>
        <v>12000</v>
      </c>
      <c r="S830" s="169">
        <f t="shared" si="113"/>
        <v>72000</v>
      </c>
      <c r="T830" s="169">
        <f t="shared" si="113"/>
        <v>61867</v>
      </c>
      <c r="U830" s="169">
        <f t="shared" si="113"/>
        <v>-137070.68</v>
      </c>
      <c r="V830" s="169">
        <f t="shared" si="113"/>
        <v>0</v>
      </c>
      <c r="W830" s="169">
        <f t="shared" si="113"/>
        <v>0</v>
      </c>
      <c r="X830" s="169">
        <f t="shared" si="113"/>
        <v>0</v>
      </c>
      <c r="Y830" s="169">
        <f t="shared" si="113"/>
        <v>0</v>
      </c>
      <c r="Z830" s="169">
        <f t="shared" si="113"/>
        <v>8796.32</v>
      </c>
      <c r="AA830" s="407">
        <f t="shared" si="111"/>
        <v>0</v>
      </c>
      <c r="AC830" s="59"/>
      <c r="AD830" s="512"/>
      <c r="AE830" s="512"/>
      <c r="AF830" s="512"/>
      <c r="AG830" s="507"/>
      <c r="AH830" s="507"/>
    </row>
    <row r="831" spans="1:34" s="30" customFormat="1" ht="63.75">
      <c r="A831" s="607"/>
      <c r="B831" s="565"/>
      <c r="C831" s="266" t="s">
        <v>1608</v>
      </c>
      <c r="D831" s="285" t="s">
        <v>676</v>
      </c>
      <c r="E831" s="142">
        <v>130</v>
      </c>
      <c r="F831" s="143">
        <f>100%-((E831-G831)/E831)</f>
        <v>1</v>
      </c>
      <c r="G831" s="142">
        <v>130</v>
      </c>
      <c r="H831" s="417">
        <v>3210</v>
      </c>
      <c r="I831" s="144">
        <f>145867-137070.68</f>
        <v>8796.32</v>
      </c>
      <c r="J831" s="286"/>
      <c r="K831" s="169"/>
      <c r="L831" s="144">
        <v>145867</v>
      </c>
      <c r="M831" s="169"/>
      <c r="N831" s="407"/>
      <c r="O831" s="439"/>
      <c r="P831" s="439"/>
      <c r="Q831" s="439"/>
      <c r="R831" s="439">
        <v>12000</v>
      </c>
      <c r="S831" s="439">
        <v>72000</v>
      </c>
      <c r="T831" s="439">
        <v>61867</v>
      </c>
      <c r="U831" s="439">
        <v>-137070.68</v>
      </c>
      <c r="V831" s="439"/>
      <c r="W831" s="439"/>
      <c r="X831" s="439"/>
      <c r="Y831" s="439"/>
      <c r="Z831" s="439">
        <v>8796.32</v>
      </c>
      <c r="AA831" s="407">
        <f t="shared" si="111"/>
        <v>0</v>
      </c>
      <c r="AC831" s="59"/>
      <c r="AD831" s="512">
        <v>8796.32</v>
      </c>
      <c r="AE831" s="512">
        <v>140280.68</v>
      </c>
      <c r="AF831" s="512"/>
      <c r="AG831" s="507" t="s">
        <v>491</v>
      </c>
      <c r="AH831" s="507"/>
    </row>
    <row r="832" spans="1:34" s="30" customFormat="1" ht="15.75">
      <c r="A832" s="607"/>
      <c r="B832" s="607"/>
      <c r="C832" s="36"/>
      <c r="D832" s="272" t="s">
        <v>1528</v>
      </c>
      <c r="E832" s="142"/>
      <c r="F832" s="143"/>
      <c r="G832" s="142"/>
      <c r="H832" s="417"/>
      <c r="I832" s="169">
        <f>SUM(I833:I833)</f>
        <v>14672.29</v>
      </c>
      <c r="J832" s="169">
        <f>SUM(J833:J833)</f>
        <v>0</v>
      </c>
      <c r="K832" s="169">
        <f>SUM(K833:K833)</f>
        <v>0</v>
      </c>
      <c r="L832" s="169">
        <f>SUM(L833:L833)</f>
        <v>373529</v>
      </c>
      <c r="M832" s="169">
        <f>SUM(M833:M833)</f>
        <v>0</v>
      </c>
      <c r="N832" s="169">
        <f aca="true" t="shared" si="114" ref="N832:Z832">SUM(N833:N833)</f>
        <v>0</v>
      </c>
      <c r="O832" s="169">
        <f t="shared" si="114"/>
        <v>0</v>
      </c>
      <c r="P832" s="169">
        <f t="shared" si="114"/>
        <v>0</v>
      </c>
      <c r="Q832" s="169">
        <f t="shared" si="114"/>
        <v>0</v>
      </c>
      <c r="R832" s="169">
        <f t="shared" si="114"/>
        <v>21000</v>
      </c>
      <c r="S832" s="169">
        <f t="shared" si="114"/>
        <v>209000</v>
      </c>
      <c r="T832" s="169">
        <f t="shared" si="114"/>
        <v>143529</v>
      </c>
      <c r="U832" s="169">
        <f t="shared" si="114"/>
        <v>-358856.71</v>
      </c>
      <c r="V832" s="169">
        <f t="shared" si="114"/>
        <v>0</v>
      </c>
      <c r="W832" s="169">
        <f t="shared" si="114"/>
        <v>0</v>
      </c>
      <c r="X832" s="169">
        <f t="shared" si="114"/>
        <v>0</v>
      </c>
      <c r="Y832" s="169">
        <f t="shared" si="114"/>
        <v>0</v>
      </c>
      <c r="Z832" s="169">
        <f t="shared" si="114"/>
        <v>14672.29</v>
      </c>
      <c r="AA832" s="407">
        <f t="shared" si="111"/>
        <v>0</v>
      </c>
      <c r="AC832" s="59"/>
      <c r="AD832" s="512"/>
      <c r="AE832" s="512"/>
      <c r="AF832" s="512"/>
      <c r="AG832" s="507"/>
      <c r="AH832" s="507"/>
    </row>
    <row r="833" spans="1:34" s="30" customFormat="1" ht="63.75">
      <c r="A833" s="607"/>
      <c r="B833" s="607"/>
      <c r="C833" s="266" t="s">
        <v>1608</v>
      </c>
      <c r="D833" s="285" t="s">
        <v>676</v>
      </c>
      <c r="E833" s="142">
        <v>300</v>
      </c>
      <c r="F833" s="143">
        <f>100%-((E833-G833)/E833)</f>
        <v>1</v>
      </c>
      <c r="G833" s="142">
        <v>300</v>
      </c>
      <c r="H833" s="417">
        <v>3210</v>
      </c>
      <c r="I833" s="144">
        <f>373529-358856.71</f>
        <v>14672.29</v>
      </c>
      <c r="J833" s="144"/>
      <c r="K833" s="144"/>
      <c r="L833" s="144">
        <v>373529</v>
      </c>
      <c r="M833" s="169"/>
      <c r="N833" s="407"/>
      <c r="O833" s="439"/>
      <c r="P833" s="439"/>
      <c r="Q833" s="439"/>
      <c r="R833" s="439">
        <v>21000</v>
      </c>
      <c r="S833" s="439">
        <v>209000</v>
      </c>
      <c r="T833" s="439">
        <v>143529</v>
      </c>
      <c r="U833" s="439">
        <v>-358856.71</v>
      </c>
      <c r="V833" s="439"/>
      <c r="W833" s="439"/>
      <c r="X833" s="439"/>
      <c r="Y833" s="439"/>
      <c r="Z833" s="439">
        <v>14672.29</v>
      </c>
      <c r="AA833" s="407">
        <f t="shared" si="111"/>
        <v>0</v>
      </c>
      <c r="AC833" s="59"/>
      <c r="AD833" s="512">
        <v>14672.29</v>
      </c>
      <c r="AE833" s="512">
        <v>362066.71</v>
      </c>
      <c r="AF833" s="512"/>
      <c r="AG833" s="507" t="s">
        <v>490</v>
      </c>
      <c r="AH833" s="507"/>
    </row>
    <row r="834" spans="1:34" s="30" customFormat="1" ht="15.75">
      <c r="A834" s="564">
        <v>210110</v>
      </c>
      <c r="B834" s="586" t="s">
        <v>1530</v>
      </c>
      <c r="C834" s="195"/>
      <c r="D834" s="216" t="s">
        <v>1456</v>
      </c>
      <c r="E834" s="290"/>
      <c r="F834" s="159"/>
      <c r="G834" s="290"/>
      <c r="H834" s="426"/>
      <c r="I834" s="304">
        <f aca="true" t="shared" si="115" ref="I834:Z834">SUM(I835:I835)</f>
        <v>16000</v>
      </c>
      <c r="J834" s="304">
        <f t="shared" si="115"/>
        <v>0</v>
      </c>
      <c r="K834" s="304">
        <f t="shared" si="115"/>
        <v>0</v>
      </c>
      <c r="L834" s="304">
        <f t="shared" si="115"/>
        <v>0</v>
      </c>
      <c r="M834" s="304">
        <f t="shared" si="115"/>
        <v>16000</v>
      </c>
      <c r="N834" s="304">
        <f t="shared" si="115"/>
        <v>0</v>
      </c>
      <c r="O834" s="304">
        <f t="shared" si="115"/>
        <v>0</v>
      </c>
      <c r="P834" s="304">
        <f t="shared" si="115"/>
        <v>0</v>
      </c>
      <c r="Q834" s="304">
        <f t="shared" si="115"/>
        <v>0</v>
      </c>
      <c r="R834" s="304">
        <f t="shared" si="115"/>
        <v>16000</v>
      </c>
      <c r="S834" s="304">
        <f t="shared" si="115"/>
        <v>0</v>
      </c>
      <c r="T834" s="304">
        <f t="shared" si="115"/>
        <v>0</v>
      </c>
      <c r="U834" s="304">
        <f t="shared" si="115"/>
        <v>0</v>
      </c>
      <c r="V834" s="304">
        <f t="shared" si="115"/>
        <v>0</v>
      </c>
      <c r="W834" s="304">
        <f t="shared" si="115"/>
        <v>0</v>
      </c>
      <c r="X834" s="304">
        <f t="shared" si="115"/>
        <v>0</v>
      </c>
      <c r="Y834" s="304">
        <f t="shared" si="115"/>
        <v>0</v>
      </c>
      <c r="Z834" s="304">
        <f t="shared" si="115"/>
        <v>15998</v>
      </c>
      <c r="AA834" s="407">
        <f t="shared" si="111"/>
        <v>2</v>
      </c>
      <c r="AC834" s="59"/>
      <c r="AD834" s="512"/>
      <c r="AE834" s="512"/>
      <c r="AF834" s="512"/>
      <c r="AG834" s="507"/>
      <c r="AH834" s="507"/>
    </row>
    <row r="835" spans="1:34" s="30" customFormat="1" ht="47.25">
      <c r="A835" s="564"/>
      <c r="B835" s="586"/>
      <c r="C835" s="135"/>
      <c r="D835" s="217" t="s">
        <v>396</v>
      </c>
      <c r="E835" s="292"/>
      <c r="F835" s="143"/>
      <c r="G835" s="292"/>
      <c r="H835" s="427">
        <v>3110</v>
      </c>
      <c r="I835" s="144">
        <v>16000</v>
      </c>
      <c r="J835" s="322"/>
      <c r="K835" s="322"/>
      <c r="L835" s="307"/>
      <c r="M835" s="307">
        <v>16000</v>
      </c>
      <c r="N835" s="407"/>
      <c r="O835" s="439"/>
      <c r="P835" s="439"/>
      <c r="Q835" s="439"/>
      <c r="R835" s="439">
        <v>16000</v>
      </c>
      <c r="S835" s="439"/>
      <c r="T835" s="439"/>
      <c r="U835" s="439"/>
      <c r="V835" s="439"/>
      <c r="W835" s="439"/>
      <c r="X835" s="439"/>
      <c r="Y835" s="439"/>
      <c r="Z835" s="407">
        <v>15998</v>
      </c>
      <c r="AA835" s="407">
        <f t="shared" si="111"/>
        <v>2</v>
      </c>
      <c r="AC835" s="59"/>
      <c r="AD835" s="512">
        <v>16000</v>
      </c>
      <c r="AE835" s="512">
        <v>15998</v>
      </c>
      <c r="AF835" s="512" t="s">
        <v>492</v>
      </c>
      <c r="AG835" s="507" t="s">
        <v>493</v>
      </c>
      <c r="AH835" s="507" t="s">
        <v>494</v>
      </c>
    </row>
    <row r="836" spans="1:34" s="30" customFormat="1" ht="15.75">
      <c r="A836" s="603">
        <v>250344</v>
      </c>
      <c r="B836" s="605" t="s">
        <v>217</v>
      </c>
      <c r="C836" s="166"/>
      <c r="D836" s="216" t="s">
        <v>1456</v>
      </c>
      <c r="E836" s="303"/>
      <c r="F836" s="138"/>
      <c r="G836" s="303"/>
      <c r="H836" s="429"/>
      <c r="I836" s="139">
        <f>I837</f>
        <v>31500</v>
      </c>
      <c r="J836" s="139">
        <f aca="true" t="shared" si="116" ref="J836:Y836">J837</f>
        <v>0</v>
      </c>
      <c r="K836" s="139">
        <f t="shared" si="116"/>
        <v>0</v>
      </c>
      <c r="L836" s="139">
        <f t="shared" si="116"/>
        <v>0</v>
      </c>
      <c r="M836" s="139">
        <f t="shared" si="116"/>
        <v>0</v>
      </c>
      <c r="N836" s="139">
        <f t="shared" si="116"/>
        <v>0</v>
      </c>
      <c r="O836" s="139">
        <f t="shared" si="116"/>
        <v>0</v>
      </c>
      <c r="P836" s="139">
        <f t="shared" si="116"/>
        <v>0</v>
      </c>
      <c r="Q836" s="139">
        <f t="shared" si="116"/>
        <v>0</v>
      </c>
      <c r="R836" s="139">
        <f t="shared" si="116"/>
        <v>0</v>
      </c>
      <c r="S836" s="139">
        <f t="shared" si="116"/>
        <v>0</v>
      </c>
      <c r="T836" s="139">
        <f t="shared" si="116"/>
        <v>0</v>
      </c>
      <c r="U836" s="139">
        <f t="shared" si="116"/>
        <v>0</v>
      </c>
      <c r="V836" s="139">
        <f t="shared" si="116"/>
        <v>0</v>
      </c>
      <c r="W836" s="139">
        <f t="shared" si="116"/>
        <v>0</v>
      </c>
      <c r="X836" s="139">
        <f t="shared" si="116"/>
        <v>31500</v>
      </c>
      <c r="Y836" s="139">
        <f t="shared" si="116"/>
        <v>0</v>
      </c>
      <c r="Z836" s="304">
        <f>SUM(Z837:Z837)</f>
        <v>0</v>
      </c>
      <c r="AA836" s="407">
        <f t="shared" si="111"/>
        <v>31500</v>
      </c>
      <c r="AC836" s="59"/>
      <c r="AD836" s="514"/>
      <c r="AE836" s="514"/>
      <c r="AF836" s="514"/>
      <c r="AG836" s="509"/>
      <c r="AH836" s="509"/>
    </row>
    <row r="837" spans="1:34" s="30" customFormat="1" ht="100.5" customHeight="1">
      <c r="A837" s="604"/>
      <c r="B837" s="606"/>
      <c r="C837" s="135"/>
      <c r="D837" s="217" t="s">
        <v>222</v>
      </c>
      <c r="E837" s="292"/>
      <c r="F837" s="143"/>
      <c r="G837" s="292"/>
      <c r="H837" s="427">
        <v>3220</v>
      </c>
      <c r="I837" s="144">
        <v>31500</v>
      </c>
      <c r="J837" s="322"/>
      <c r="K837" s="322"/>
      <c r="L837" s="307"/>
      <c r="M837" s="307"/>
      <c r="N837" s="407"/>
      <c r="O837" s="439"/>
      <c r="P837" s="439"/>
      <c r="Q837" s="439"/>
      <c r="R837" s="439"/>
      <c r="S837" s="439"/>
      <c r="T837" s="439"/>
      <c r="U837" s="439"/>
      <c r="V837" s="439"/>
      <c r="W837" s="439"/>
      <c r="X837" s="439">
        <v>31500</v>
      </c>
      <c r="Y837" s="439"/>
      <c r="Z837" s="407"/>
      <c r="AA837" s="407">
        <f t="shared" si="111"/>
        <v>31500</v>
      </c>
      <c r="AC837" s="59"/>
      <c r="AD837" s="512"/>
      <c r="AE837" s="512"/>
      <c r="AF837" s="512"/>
      <c r="AG837" s="507"/>
      <c r="AH837" s="507"/>
    </row>
    <row r="838" spans="1:34" s="30" customFormat="1" ht="15.75">
      <c r="A838" s="603">
        <v>250404</v>
      </c>
      <c r="B838" s="605" t="s">
        <v>635</v>
      </c>
      <c r="C838" s="166"/>
      <c r="D838" s="216" t="s">
        <v>1456</v>
      </c>
      <c r="E838" s="303"/>
      <c r="F838" s="138"/>
      <c r="G838" s="303"/>
      <c r="H838" s="429"/>
      <c r="I838" s="139">
        <f>I839+I840</f>
        <v>360000</v>
      </c>
      <c r="J838" s="139">
        <f aca="true" t="shared" si="117" ref="J838:Z838">J839+J840</f>
        <v>0</v>
      </c>
      <c r="K838" s="139">
        <f t="shared" si="117"/>
        <v>0</v>
      </c>
      <c r="L838" s="139">
        <f t="shared" si="117"/>
        <v>0</v>
      </c>
      <c r="M838" s="139">
        <f t="shared" si="117"/>
        <v>0</v>
      </c>
      <c r="N838" s="139">
        <f t="shared" si="117"/>
        <v>0</v>
      </c>
      <c r="O838" s="139">
        <f t="shared" si="117"/>
        <v>0</v>
      </c>
      <c r="P838" s="139">
        <f t="shared" si="117"/>
        <v>0</v>
      </c>
      <c r="Q838" s="139">
        <f t="shared" si="117"/>
        <v>0</v>
      </c>
      <c r="R838" s="139">
        <f t="shared" si="117"/>
        <v>0</v>
      </c>
      <c r="S838" s="139">
        <f t="shared" si="117"/>
        <v>0</v>
      </c>
      <c r="T838" s="139">
        <f t="shared" si="117"/>
        <v>0</v>
      </c>
      <c r="U838" s="139">
        <f t="shared" si="117"/>
        <v>0</v>
      </c>
      <c r="V838" s="139">
        <f t="shared" si="117"/>
        <v>391500</v>
      </c>
      <c r="W838" s="139">
        <f t="shared" si="117"/>
        <v>0</v>
      </c>
      <c r="X838" s="139">
        <f t="shared" si="117"/>
        <v>-31500</v>
      </c>
      <c r="Y838" s="139">
        <f t="shared" si="117"/>
        <v>0</v>
      </c>
      <c r="Z838" s="139">
        <f t="shared" si="117"/>
        <v>0</v>
      </c>
      <c r="AA838" s="407">
        <f t="shared" si="111"/>
        <v>360000</v>
      </c>
      <c r="AC838" s="59"/>
      <c r="AD838" s="512"/>
      <c r="AE838" s="512"/>
      <c r="AF838" s="512"/>
      <c r="AG838" s="507"/>
      <c r="AH838" s="507"/>
    </row>
    <row r="839" spans="1:34" s="30" customFormat="1" ht="15.75" hidden="1">
      <c r="A839" s="604"/>
      <c r="B839" s="606"/>
      <c r="C839" s="166"/>
      <c r="D839" s="225" t="s">
        <v>434</v>
      </c>
      <c r="E839" s="331"/>
      <c r="F839" s="229"/>
      <c r="G839" s="331"/>
      <c r="H839" s="431">
        <v>3110</v>
      </c>
      <c r="I839" s="169">
        <f>391500-391500</f>
        <v>0</v>
      </c>
      <c r="J839" s="322"/>
      <c r="K839" s="322"/>
      <c r="L839" s="322"/>
      <c r="M839" s="322"/>
      <c r="N839" s="439"/>
      <c r="O839" s="439"/>
      <c r="P839" s="439"/>
      <c r="Q839" s="439"/>
      <c r="R839" s="439"/>
      <c r="S839" s="439"/>
      <c r="T839" s="439"/>
      <c r="U839" s="439"/>
      <c r="V839" s="439">
        <f>391500</f>
        <v>391500</v>
      </c>
      <c r="W839" s="439"/>
      <c r="X839" s="439">
        <v>-391500</v>
      </c>
      <c r="Y839" s="439"/>
      <c r="Z839" s="439"/>
      <c r="AA839" s="407">
        <f t="shared" si="111"/>
        <v>0</v>
      </c>
      <c r="AC839" s="59"/>
      <c r="AD839" s="512"/>
      <c r="AE839" s="512"/>
      <c r="AF839" s="512"/>
      <c r="AG839" s="507"/>
      <c r="AH839" s="507"/>
    </row>
    <row r="840" spans="1:34" ht="87.75" customHeight="1">
      <c r="A840" s="295"/>
      <c r="B840" s="225"/>
      <c r="C840" s="135"/>
      <c r="D840" s="296" t="s">
        <v>223</v>
      </c>
      <c r="E840" s="142"/>
      <c r="F840" s="143"/>
      <c r="G840" s="142"/>
      <c r="H840" s="417">
        <v>3110</v>
      </c>
      <c r="I840" s="144">
        <v>360000</v>
      </c>
      <c r="J840" s="169"/>
      <c r="K840" s="462"/>
      <c r="L840" s="144"/>
      <c r="M840" s="144"/>
      <c r="N840" s="407"/>
      <c r="O840" s="407"/>
      <c r="P840" s="407"/>
      <c r="Q840" s="407"/>
      <c r="R840" s="407"/>
      <c r="S840" s="407"/>
      <c r="T840" s="407"/>
      <c r="U840" s="407"/>
      <c r="V840" s="407"/>
      <c r="W840" s="407"/>
      <c r="X840" s="407">
        <v>360000</v>
      </c>
      <c r="Y840" s="407"/>
      <c r="Z840" s="407"/>
      <c r="AA840" s="407">
        <f t="shared" si="111"/>
        <v>360000</v>
      </c>
      <c r="AC840" s="499"/>
      <c r="AD840" s="512"/>
      <c r="AE840" s="512"/>
      <c r="AF840" s="512"/>
      <c r="AG840" s="507"/>
      <c r="AH840" s="507"/>
    </row>
    <row r="841" spans="1:34" ht="15.75">
      <c r="A841" s="297">
        <v>48</v>
      </c>
      <c r="B841" s="584" t="s">
        <v>2045</v>
      </c>
      <c r="C841" s="584"/>
      <c r="D841" s="584"/>
      <c r="E841" s="298"/>
      <c r="F841" s="194"/>
      <c r="G841" s="298"/>
      <c r="H841" s="428"/>
      <c r="I841" s="299">
        <f>I842+I848+I854+I873+I875+I884+I900+I904+I1040+I1045+I1047+I1050+I1103+I882+I1101</f>
        <v>69259942.52</v>
      </c>
      <c r="J841" s="299">
        <f aca="true" t="shared" si="118" ref="J841:Z841">J842+J848+J854+J873+J875+J884+J900+J904+J1040+J1045+J1047+J1050+J1103+J882+J1101</f>
        <v>1000000</v>
      </c>
      <c r="K841" s="299">
        <f t="shared" si="118"/>
        <v>30000</v>
      </c>
      <c r="L841" s="299">
        <f t="shared" si="118"/>
        <v>4027162.82</v>
      </c>
      <c r="M841" s="299">
        <f t="shared" si="118"/>
        <v>69661560.7</v>
      </c>
      <c r="N841" s="299">
        <f t="shared" si="118"/>
        <v>0</v>
      </c>
      <c r="O841" s="299">
        <f t="shared" si="118"/>
        <v>1202299.7</v>
      </c>
      <c r="P841" s="299">
        <f t="shared" si="118"/>
        <v>0</v>
      </c>
      <c r="Q841" s="299">
        <f t="shared" si="118"/>
        <v>3909275.76</v>
      </c>
      <c r="R841" s="299">
        <f t="shared" si="118"/>
        <v>13121388.6</v>
      </c>
      <c r="S841" s="299">
        <f t="shared" si="118"/>
        <v>10340000</v>
      </c>
      <c r="T841" s="299">
        <f t="shared" si="118"/>
        <v>13218728.99</v>
      </c>
      <c r="U841" s="299">
        <f t="shared" si="118"/>
        <v>13770090.47</v>
      </c>
      <c r="V841" s="299">
        <f t="shared" si="118"/>
        <v>4780009</v>
      </c>
      <c r="W841" s="299">
        <f t="shared" si="118"/>
        <v>1207412</v>
      </c>
      <c r="X841" s="299">
        <f t="shared" si="118"/>
        <v>5688238</v>
      </c>
      <c r="Y841" s="299">
        <f t="shared" si="118"/>
        <v>2022500</v>
      </c>
      <c r="Z841" s="299">
        <f t="shared" si="118"/>
        <v>20302926.84</v>
      </c>
      <c r="AA841" s="407">
        <f t="shared" si="111"/>
        <v>46934515.68</v>
      </c>
      <c r="AC841" s="499"/>
      <c r="AD841" s="512"/>
      <c r="AE841" s="512"/>
      <c r="AF841" s="512"/>
      <c r="AG841" s="507"/>
      <c r="AH841" s="507"/>
    </row>
    <row r="842" spans="1:34" s="30" customFormat="1" ht="18.75" customHeight="1">
      <c r="A842" s="581" t="s">
        <v>1756</v>
      </c>
      <c r="B842" s="605" t="s">
        <v>1458</v>
      </c>
      <c r="C842" s="195"/>
      <c r="D842" s="136" t="s">
        <v>1456</v>
      </c>
      <c r="E842" s="137"/>
      <c r="F842" s="159"/>
      <c r="G842" s="137"/>
      <c r="H842" s="416"/>
      <c r="I842" s="139">
        <f>I846</f>
        <v>27768</v>
      </c>
      <c r="J842" s="139">
        <f aca="true" t="shared" si="119" ref="J842:Z842">SUM(J843:J847)</f>
        <v>0</v>
      </c>
      <c r="K842" s="139">
        <f t="shared" si="119"/>
        <v>0</v>
      </c>
      <c r="L842" s="139">
        <f t="shared" si="119"/>
        <v>27768</v>
      </c>
      <c r="M842" s="139">
        <f t="shared" si="119"/>
        <v>0</v>
      </c>
      <c r="N842" s="139">
        <f t="shared" si="119"/>
        <v>0</v>
      </c>
      <c r="O842" s="139">
        <f t="shared" si="119"/>
        <v>27768</v>
      </c>
      <c r="P842" s="139">
        <f t="shared" si="119"/>
        <v>0</v>
      </c>
      <c r="Q842" s="139">
        <f t="shared" si="119"/>
        <v>0</v>
      </c>
      <c r="R842" s="139">
        <f t="shared" si="119"/>
        <v>0</v>
      </c>
      <c r="S842" s="139">
        <f t="shared" si="119"/>
        <v>0</v>
      </c>
      <c r="T842" s="139">
        <f t="shared" si="119"/>
        <v>0</v>
      </c>
      <c r="U842" s="139">
        <f t="shared" si="119"/>
        <v>0</v>
      </c>
      <c r="V842" s="139">
        <f t="shared" si="119"/>
        <v>0</v>
      </c>
      <c r="W842" s="139">
        <f t="shared" si="119"/>
        <v>0</v>
      </c>
      <c r="X842" s="139">
        <f t="shared" si="119"/>
        <v>0</v>
      </c>
      <c r="Y842" s="139">
        <f t="shared" si="119"/>
        <v>0</v>
      </c>
      <c r="Z842" s="139">
        <f t="shared" si="119"/>
        <v>27768</v>
      </c>
      <c r="AA842" s="407">
        <f t="shared" si="111"/>
        <v>0</v>
      </c>
      <c r="AC842" s="59"/>
      <c r="AD842" s="512"/>
      <c r="AE842" s="512"/>
      <c r="AF842" s="512"/>
      <c r="AG842" s="507"/>
      <c r="AH842" s="507"/>
    </row>
    <row r="843" spans="1:34" ht="31.5" hidden="1">
      <c r="A843" s="582"/>
      <c r="B843" s="607"/>
      <c r="C843" s="135" t="s">
        <v>1819</v>
      </c>
      <c r="D843" s="141" t="s">
        <v>1820</v>
      </c>
      <c r="E843" s="142"/>
      <c r="F843" s="143"/>
      <c r="G843" s="142"/>
      <c r="H843" s="417"/>
      <c r="I843" s="144" t="e">
        <f>J843+K843+L843+M843+#REF!+#REF!</f>
        <v>#REF!</v>
      </c>
      <c r="J843" s="144"/>
      <c r="K843" s="144"/>
      <c r="L843" s="144"/>
      <c r="M843" s="144"/>
      <c r="N843" s="407" t="s">
        <v>1821</v>
      </c>
      <c r="O843" s="407"/>
      <c r="P843" s="407"/>
      <c r="Q843" s="407"/>
      <c r="R843" s="407"/>
      <c r="S843" s="407"/>
      <c r="T843" s="407"/>
      <c r="U843" s="407"/>
      <c r="V843" s="407"/>
      <c r="W843" s="407"/>
      <c r="X843" s="407"/>
      <c r="Y843" s="407"/>
      <c r="Z843" s="407"/>
      <c r="AA843" s="407" t="e">
        <f t="shared" si="111"/>
        <v>#VALUE!</v>
      </c>
      <c r="AC843" s="499"/>
      <c r="AD843" s="512"/>
      <c r="AE843" s="512"/>
      <c r="AF843" s="512"/>
      <c r="AG843" s="507"/>
      <c r="AH843" s="507"/>
    </row>
    <row r="844" spans="1:34" ht="15.75" hidden="1">
      <c r="A844" s="582"/>
      <c r="B844" s="607"/>
      <c r="C844" s="135" t="s">
        <v>1822</v>
      </c>
      <c r="D844" s="141" t="s">
        <v>1823</v>
      </c>
      <c r="E844" s="142"/>
      <c r="F844" s="143"/>
      <c r="G844" s="142"/>
      <c r="H844" s="417"/>
      <c r="I844" s="144" t="e">
        <f>J844+K844+L844+M844+#REF!+#REF!</f>
        <v>#REF!</v>
      </c>
      <c r="J844" s="144"/>
      <c r="K844" s="144"/>
      <c r="L844" s="144"/>
      <c r="M844" s="144"/>
      <c r="N844" s="407" t="s">
        <v>1821</v>
      </c>
      <c r="O844" s="407"/>
      <c r="P844" s="407"/>
      <c r="Q844" s="407"/>
      <c r="R844" s="407"/>
      <c r="S844" s="407"/>
      <c r="T844" s="407"/>
      <c r="U844" s="407"/>
      <c r="V844" s="407"/>
      <c r="W844" s="407"/>
      <c r="X844" s="407"/>
      <c r="Y844" s="407"/>
      <c r="Z844" s="407"/>
      <c r="AA844" s="407" t="e">
        <f t="shared" si="111"/>
        <v>#VALUE!</v>
      </c>
      <c r="AC844" s="499"/>
      <c r="AD844" s="512"/>
      <c r="AE844" s="512"/>
      <c r="AF844" s="512"/>
      <c r="AG844" s="507"/>
      <c r="AH844" s="507"/>
    </row>
    <row r="845" spans="1:34" ht="31.5" hidden="1">
      <c r="A845" s="582"/>
      <c r="B845" s="607"/>
      <c r="C845" s="135" t="s">
        <v>1824</v>
      </c>
      <c r="D845" s="141" t="s">
        <v>1825</v>
      </c>
      <c r="E845" s="142"/>
      <c r="F845" s="143"/>
      <c r="G845" s="142"/>
      <c r="H845" s="417"/>
      <c r="I845" s="144" t="e">
        <f>J845+K845+L845+M845+#REF!+#REF!</f>
        <v>#REF!</v>
      </c>
      <c r="J845" s="144"/>
      <c r="K845" s="144"/>
      <c r="L845" s="144"/>
      <c r="M845" s="144"/>
      <c r="N845" s="407" t="s">
        <v>1821</v>
      </c>
      <c r="O845" s="407"/>
      <c r="P845" s="407"/>
      <c r="Q845" s="407"/>
      <c r="R845" s="407"/>
      <c r="S845" s="407"/>
      <c r="T845" s="407"/>
      <c r="U845" s="407"/>
      <c r="V845" s="407"/>
      <c r="W845" s="407"/>
      <c r="X845" s="407"/>
      <c r="Y845" s="407"/>
      <c r="Z845" s="407"/>
      <c r="AA845" s="407" t="e">
        <f t="shared" si="111"/>
        <v>#VALUE!</v>
      </c>
      <c r="AC845" s="499"/>
      <c r="AD845" s="512"/>
      <c r="AE845" s="512"/>
      <c r="AF845" s="512"/>
      <c r="AG845" s="507"/>
      <c r="AH845" s="507"/>
    </row>
    <row r="846" spans="1:34" ht="31.5">
      <c r="A846" s="644"/>
      <c r="B846" s="644"/>
      <c r="C846" s="135" t="s">
        <v>1197</v>
      </c>
      <c r="D846" s="141" t="s">
        <v>969</v>
      </c>
      <c r="E846" s="142"/>
      <c r="F846" s="143"/>
      <c r="G846" s="142"/>
      <c r="H846" s="417">
        <v>3110</v>
      </c>
      <c r="I846" s="144">
        <v>27768</v>
      </c>
      <c r="J846" s="144"/>
      <c r="K846" s="144"/>
      <c r="L846" s="144">
        <v>27768</v>
      </c>
      <c r="M846" s="144"/>
      <c r="N846" s="407"/>
      <c r="O846" s="144">
        <v>27768</v>
      </c>
      <c r="P846" s="407"/>
      <c r="Q846" s="407"/>
      <c r="R846" s="407"/>
      <c r="S846" s="407"/>
      <c r="T846" s="407"/>
      <c r="U846" s="407"/>
      <c r="V846" s="407"/>
      <c r="W846" s="407"/>
      <c r="X846" s="407"/>
      <c r="Y846" s="407"/>
      <c r="Z846" s="144">
        <v>27768</v>
      </c>
      <c r="AA846" s="407">
        <f t="shared" si="111"/>
        <v>0</v>
      </c>
      <c r="AC846" s="499"/>
      <c r="AD846" s="512">
        <v>27768</v>
      </c>
      <c r="AE846" s="512"/>
      <c r="AF846" s="512" t="s">
        <v>1537</v>
      </c>
      <c r="AG846" s="507"/>
      <c r="AH846" s="507"/>
    </row>
    <row r="847" spans="1:34" ht="31.5" customHeight="1" hidden="1">
      <c r="A847" s="645"/>
      <c r="B847" s="645"/>
      <c r="C847" s="135" t="s">
        <v>782</v>
      </c>
      <c r="D847" s="141" t="s">
        <v>783</v>
      </c>
      <c r="E847" s="142"/>
      <c r="F847" s="143"/>
      <c r="G847" s="142"/>
      <c r="H847" s="417"/>
      <c r="I847" s="144" t="e">
        <f>J847+K847+L847+M847+#REF!+#REF!</f>
        <v>#REF!</v>
      </c>
      <c r="J847" s="472">
        <f>73.9-73.9</f>
        <v>0</v>
      </c>
      <c r="K847" s="144"/>
      <c r="L847" s="144"/>
      <c r="M847" s="144"/>
      <c r="N847" s="407"/>
      <c r="O847" s="407"/>
      <c r="P847" s="407"/>
      <c r="Q847" s="407"/>
      <c r="R847" s="407"/>
      <c r="S847" s="407"/>
      <c r="T847" s="407"/>
      <c r="U847" s="407"/>
      <c r="V847" s="407"/>
      <c r="W847" s="407"/>
      <c r="X847" s="407"/>
      <c r="Y847" s="407"/>
      <c r="Z847" s="407"/>
      <c r="AA847" s="407">
        <f t="shared" si="111"/>
        <v>0</v>
      </c>
      <c r="AC847" s="499"/>
      <c r="AD847" s="512"/>
      <c r="AE847" s="512"/>
      <c r="AF847" s="512"/>
      <c r="AG847" s="507"/>
      <c r="AH847" s="507"/>
    </row>
    <row r="848" spans="1:62" s="28" customFormat="1" ht="15.75">
      <c r="A848" s="581" t="s">
        <v>1212</v>
      </c>
      <c r="B848" s="605" t="s">
        <v>104</v>
      </c>
      <c r="C848" s="195"/>
      <c r="D848" s="136" t="s">
        <v>781</v>
      </c>
      <c r="E848" s="137"/>
      <c r="F848" s="138"/>
      <c r="G848" s="137"/>
      <c r="H848" s="416"/>
      <c r="I848" s="139">
        <f aca="true" t="shared" si="120" ref="I848:Z848">SUM(I849:I853)</f>
        <v>964099.92</v>
      </c>
      <c r="J848" s="139">
        <f t="shared" si="120"/>
        <v>0</v>
      </c>
      <c r="K848" s="139">
        <f t="shared" si="120"/>
        <v>0</v>
      </c>
      <c r="L848" s="139">
        <f t="shared" si="120"/>
        <v>8856.32</v>
      </c>
      <c r="M848" s="139">
        <f t="shared" si="120"/>
        <v>569142</v>
      </c>
      <c r="N848" s="139">
        <f t="shared" si="120"/>
        <v>0</v>
      </c>
      <c r="O848" s="139">
        <f t="shared" si="120"/>
        <v>8856.32</v>
      </c>
      <c r="P848" s="139">
        <f t="shared" si="120"/>
        <v>0</v>
      </c>
      <c r="Q848" s="139">
        <f t="shared" si="120"/>
        <v>0</v>
      </c>
      <c r="R848" s="139">
        <f t="shared" si="120"/>
        <v>40000</v>
      </c>
      <c r="S848" s="139">
        <f t="shared" si="120"/>
        <v>0</v>
      </c>
      <c r="T848" s="139">
        <f t="shared" si="120"/>
        <v>78000</v>
      </c>
      <c r="U848" s="139">
        <f t="shared" si="120"/>
        <v>181142</v>
      </c>
      <c r="V848" s="139">
        <f t="shared" si="120"/>
        <v>270000</v>
      </c>
      <c r="W848" s="139">
        <f t="shared" si="120"/>
        <v>0</v>
      </c>
      <c r="X848" s="139">
        <f t="shared" si="120"/>
        <v>386101.6</v>
      </c>
      <c r="Y848" s="139">
        <f t="shared" si="120"/>
        <v>0</v>
      </c>
      <c r="Z848" s="139">
        <f t="shared" si="120"/>
        <v>271413.28</v>
      </c>
      <c r="AA848" s="407">
        <f t="shared" si="111"/>
        <v>692686.64</v>
      </c>
      <c r="AB848" s="30"/>
      <c r="AC848" s="59"/>
      <c r="AD848" s="512"/>
      <c r="AE848" s="512"/>
      <c r="AF848" s="512"/>
      <c r="AG848" s="507"/>
      <c r="AH848" s="507"/>
      <c r="AI848" s="30"/>
      <c r="AJ848" s="30"/>
      <c r="AK848" s="30"/>
      <c r="AL848" s="30"/>
      <c r="AM848" s="30"/>
      <c r="AN848" s="30"/>
      <c r="AO848" s="30"/>
      <c r="AP848" s="30"/>
      <c r="AQ848" s="30"/>
      <c r="AR848" s="30"/>
      <c r="AS848" s="30"/>
      <c r="AT848" s="30"/>
      <c r="AU848" s="30"/>
      <c r="AV848" s="30"/>
      <c r="AW848" s="30"/>
      <c r="AX848" s="30"/>
      <c r="AY848" s="30"/>
      <c r="AZ848" s="30"/>
      <c r="BA848" s="30"/>
      <c r="BB848" s="30"/>
      <c r="BC848" s="30"/>
      <c r="BD848" s="30"/>
      <c r="BE848" s="30"/>
      <c r="BF848" s="30"/>
      <c r="BG848" s="30"/>
      <c r="BH848" s="30"/>
      <c r="BI848" s="30"/>
      <c r="BJ848" s="30"/>
    </row>
    <row r="849" spans="1:34" ht="31.5">
      <c r="A849" s="582"/>
      <c r="B849" s="607"/>
      <c r="C849" s="135" t="s">
        <v>1826</v>
      </c>
      <c r="D849" s="141" t="s">
        <v>1827</v>
      </c>
      <c r="E849" s="142">
        <v>30</v>
      </c>
      <c r="F849" s="143">
        <f>100%-((E849-G849)/E849)</f>
        <v>1</v>
      </c>
      <c r="G849" s="142">
        <v>30</v>
      </c>
      <c r="H849" s="417">
        <v>3132</v>
      </c>
      <c r="I849" s="144">
        <v>8856.32</v>
      </c>
      <c r="J849" s="144"/>
      <c r="K849" s="144"/>
      <c r="L849" s="144">
        <v>8856.32</v>
      </c>
      <c r="M849" s="144"/>
      <c r="N849" s="407"/>
      <c r="O849" s="144">
        <v>8856.32</v>
      </c>
      <c r="P849" s="407"/>
      <c r="Q849" s="407"/>
      <c r="R849" s="407"/>
      <c r="S849" s="407"/>
      <c r="T849" s="407"/>
      <c r="U849" s="407"/>
      <c r="V849" s="407"/>
      <c r="W849" s="407"/>
      <c r="X849" s="407"/>
      <c r="Y849" s="407"/>
      <c r="Z849" s="144">
        <v>8856.32</v>
      </c>
      <c r="AA849" s="407">
        <f t="shared" si="111"/>
        <v>0</v>
      </c>
      <c r="AC849" s="499"/>
      <c r="AD849" s="512">
        <v>8856.32</v>
      </c>
      <c r="AE849" s="512"/>
      <c r="AF849" s="512" t="s">
        <v>1538</v>
      </c>
      <c r="AG849" s="507"/>
      <c r="AH849" s="507"/>
    </row>
    <row r="850" spans="1:34" s="362" customFormat="1" ht="51">
      <c r="A850" s="357"/>
      <c r="B850" s="356"/>
      <c r="C850" s="135"/>
      <c r="D850" s="14" t="s">
        <v>2120</v>
      </c>
      <c r="E850" s="142"/>
      <c r="F850" s="143"/>
      <c r="G850" s="142"/>
      <c r="H850" s="417">
        <v>3132</v>
      </c>
      <c r="I850" s="144">
        <f>269142+36101.6</f>
        <v>305243.6</v>
      </c>
      <c r="J850" s="144"/>
      <c r="K850" s="144"/>
      <c r="L850" s="76"/>
      <c r="M850" s="76">
        <v>269142</v>
      </c>
      <c r="N850" s="407"/>
      <c r="O850" s="407"/>
      <c r="P850" s="407"/>
      <c r="Q850" s="407"/>
      <c r="R850" s="407">
        <v>10000</v>
      </c>
      <c r="S850" s="407"/>
      <c r="T850" s="407">
        <v>78000</v>
      </c>
      <c r="U850" s="407">
        <v>181142</v>
      </c>
      <c r="V850" s="407"/>
      <c r="W850" s="407"/>
      <c r="X850" s="407">
        <v>36101.6</v>
      </c>
      <c r="Y850" s="407"/>
      <c r="Z850" s="407">
        <f>2216+130118+130222.96</f>
        <v>262556.96</v>
      </c>
      <c r="AA850" s="407">
        <f t="shared" si="111"/>
        <v>42686.64</v>
      </c>
      <c r="AC850" s="501"/>
      <c r="AD850" s="512">
        <v>269142</v>
      </c>
      <c r="AE850" s="512">
        <v>317359</v>
      </c>
      <c r="AF850" s="512" t="s">
        <v>1539</v>
      </c>
      <c r="AG850" s="507" t="s">
        <v>1540</v>
      </c>
      <c r="AH850" s="507" t="s">
        <v>1541</v>
      </c>
    </row>
    <row r="851" spans="1:34" s="362" customFormat="1" ht="47.25">
      <c r="A851" s="357"/>
      <c r="B851" s="356"/>
      <c r="C851" s="135"/>
      <c r="D851" s="14" t="s">
        <v>2123</v>
      </c>
      <c r="E851" s="142"/>
      <c r="F851" s="143"/>
      <c r="G851" s="142"/>
      <c r="H851" s="417">
        <v>3132</v>
      </c>
      <c r="I851" s="144">
        <v>200000</v>
      </c>
      <c r="J851" s="144"/>
      <c r="K851" s="144"/>
      <c r="L851" s="76"/>
      <c r="M851" s="76"/>
      <c r="N851" s="407"/>
      <c r="O851" s="407"/>
      <c r="P851" s="407"/>
      <c r="Q851" s="407"/>
      <c r="R851" s="407"/>
      <c r="S851" s="407"/>
      <c r="T851" s="407"/>
      <c r="U851" s="407"/>
      <c r="V851" s="407"/>
      <c r="W851" s="407"/>
      <c r="X851" s="407">
        <v>200000</v>
      </c>
      <c r="Y851" s="407"/>
      <c r="Z851" s="407"/>
      <c r="AA851" s="407">
        <f t="shared" si="111"/>
        <v>200000</v>
      </c>
      <c r="AC851" s="501"/>
      <c r="AD851" s="512"/>
      <c r="AE851" s="512"/>
      <c r="AF851" s="512"/>
      <c r="AG851" s="507"/>
      <c r="AH851" s="507"/>
    </row>
    <row r="852" spans="1:34" s="362" customFormat="1" ht="15.75">
      <c r="A852" s="357"/>
      <c r="B852" s="356"/>
      <c r="C852" s="135"/>
      <c r="D852" s="14" t="s">
        <v>2124</v>
      </c>
      <c r="E852" s="142"/>
      <c r="F852" s="143"/>
      <c r="G852" s="142"/>
      <c r="H852" s="417">
        <v>3132</v>
      </c>
      <c r="I852" s="144">
        <v>150000</v>
      </c>
      <c r="J852" s="144"/>
      <c r="K852" s="144"/>
      <c r="L852" s="76"/>
      <c r="M852" s="76"/>
      <c r="N852" s="407"/>
      <c r="O852" s="407"/>
      <c r="P852" s="407"/>
      <c r="Q852" s="407"/>
      <c r="R852" s="407"/>
      <c r="S852" s="407"/>
      <c r="T852" s="407"/>
      <c r="U852" s="407"/>
      <c r="V852" s="407"/>
      <c r="W852" s="407"/>
      <c r="X852" s="407">
        <v>150000</v>
      </c>
      <c r="Y852" s="407"/>
      <c r="Z852" s="407"/>
      <c r="AA852" s="407">
        <f t="shared" si="111"/>
        <v>150000</v>
      </c>
      <c r="AC852" s="501"/>
      <c r="AD852" s="512"/>
      <c r="AE852" s="512"/>
      <c r="AF852" s="512"/>
      <c r="AG852" s="507"/>
      <c r="AH852" s="507"/>
    </row>
    <row r="853" spans="1:34" s="362" customFormat="1" ht="63.75">
      <c r="A853" s="357"/>
      <c r="B853" s="356"/>
      <c r="C853" s="135"/>
      <c r="D853" s="14" t="s">
        <v>397</v>
      </c>
      <c r="E853" s="142"/>
      <c r="F853" s="143"/>
      <c r="G853" s="142"/>
      <c r="H853" s="417">
        <v>3132</v>
      </c>
      <c r="I853" s="144">
        <v>300000</v>
      </c>
      <c r="J853" s="144"/>
      <c r="K853" s="144"/>
      <c r="L853" s="76"/>
      <c r="M853" s="76">
        <v>300000</v>
      </c>
      <c r="N853" s="407"/>
      <c r="O853" s="407"/>
      <c r="P853" s="407"/>
      <c r="Q853" s="407"/>
      <c r="R853" s="407">
        <v>30000</v>
      </c>
      <c r="S853" s="407"/>
      <c r="T853" s="407"/>
      <c r="U853" s="407"/>
      <c r="V853" s="407">
        <v>270000</v>
      </c>
      <c r="W853" s="407"/>
      <c r="X853" s="407"/>
      <c r="Y853" s="407"/>
      <c r="Z853" s="407"/>
      <c r="AA853" s="407">
        <f t="shared" si="111"/>
        <v>300000</v>
      </c>
      <c r="AC853" s="501"/>
      <c r="AD853" s="512">
        <v>300000</v>
      </c>
      <c r="AE853" s="512" t="s">
        <v>1542</v>
      </c>
      <c r="AF853" s="512" t="s">
        <v>2026</v>
      </c>
      <c r="AG853" s="507" t="s">
        <v>1540</v>
      </c>
      <c r="AH853" s="507" t="s">
        <v>1542</v>
      </c>
    </row>
    <row r="854" spans="1:34" s="30" customFormat="1" ht="15.75" customHeight="1">
      <c r="A854" s="585" t="s">
        <v>105</v>
      </c>
      <c r="B854" s="586" t="s">
        <v>234</v>
      </c>
      <c r="C854" s="195"/>
      <c r="D854" s="136" t="s">
        <v>1456</v>
      </c>
      <c r="E854" s="137"/>
      <c r="F854" s="159"/>
      <c r="G854" s="137"/>
      <c r="H854" s="416"/>
      <c r="I854" s="139">
        <f aca="true" t="shared" si="121" ref="I854:Z854">SUM(I855:I872)</f>
        <v>2828336.49</v>
      </c>
      <c r="J854" s="139">
        <f t="shared" si="121"/>
        <v>0</v>
      </c>
      <c r="K854" s="139">
        <f t="shared" si="121"/>
        <v>0</v>
      </c>
      <c r="L854" s="139">
        <f t="shared" si="121"/>
        <v>77542.1</v>
      </c>
      <c r="M854" s="139">
        <f t="shared" si="121"/>
        <v>4466875.39</v>
      </c>
      <c r="N854" s="139">
        <f t="shared" si="121"/>
        <v>0</v>
      </c>
      <c r="O854" s="139">
        <f t="shared" si="121"/>
        <v>77542.1</v>
      </c>
      <c r="P854" s="139">
        <f t="shared" si="121"/>
        <v>0</v>
      </c>
      <c r="Q854" s="139">
        <f t="shared" si="121"/>
        <v>2785770</v>
      </c>
      <c r="R854" s="139">
        <f t="shared" si="121"/>
        <v>-228735</v>
      </c>
      <c r="S854" s="139">
        <f t="shared" si="121"/>
        <v>140000</v>
      </c>
      <c r="T854" s="139">
        <f t="shared" si="121"/>
        <v>490000</v>
      </c>
      <c r="U854" s="139">
        <f t="shared" si="121"/>
        <v>-1006240.61</v>
      </c>
      <c r="V854" s="139">
        <f t="shared" si="121"/>
        <v>0</v>
      </c>
      <c r="W854" s="139">
        <f t="shared" si="121"/>
        <v>60000</v>
      </c>
      <c r="X854" s="139">
        <f t="shared" si="121"/>
        <v>260000</v>
      </c>
      <c r="Y854" s="139">
        <f t="shared" si="121"/>
        <v>250000</v>
      </c>
      <c r="Z854" s="139">
        <f t="shared" si="121"/>
        <v>293095.76</v>
      </c>
      <c r="AA854" s="407">
        <f t="shared" si="111"/>
        <v>2285240.73</v>
      </c>
      <c r="AC854" s="59"/>
      <c r="AD854" s="512"/>
      <c r="AE854" s="512"/>
      <c r="AF854" s="512"/>
      <c r="AG854" s="507"/>
      <c r="AH854" s="507"/>
    </row>
    <row r="855" spans="1:34" ht="31.5">
      <c r="A855" s="585"/>
      <c r="B855" s="586"/>
      <c r="C855" s="135" t="s">
        <v>1828</v>
      </c>
      <c r="D855" s="14" t="s">
        <v>293</v>
      </c>
      <c r="E855" s="142">
        <v>1060.521</v>
      </c>
      <c r="F855" s="143">
        <f>100%-((E855-G855)/E855)</f>
        <v>0.994</v>
      </c>
      <c r="G855" s="142">
        <v>1054.12</v>
      </c>
      <c r="H855" s="417">
        <v>3132</v>
      </c>
      <c r="I855" s="144">
        <v>4969.61</v>
      </c>
      <c r="J855" s="144"/>
      <c r="K855" s="144"/>
      <c r="L855" s="49">
        <v>4969.61</v>
      </c>
      <c r="M855" s="144"/>
      <c r="N855" s="407"/>
      <c r="O855" s="144">
        <v>4969.61</v>
      </c>
      <c r="P855" s="407"/>
      <c r="Q855" s="407"/>
      <c r="R855" s="407"/>
      <c r="S855" s="407"/>
      <c r="T855" s="407"/>
      <c r="U855" s="407"/>
      <c r="V855" s="407"/>
      <c r="W855" s="407"/>
      <c r="X855" s="407"/>
      <c r="Y855" s="407"/>
      <c r="Z855" s="144">
        <v>4969.61</v>
      </c>
      <c r="AA855" s="407">
        <f t="shared" si="111"/>
        <v>0</v>
      </c>
      <c r="AC855" s="499"/>
      <c r="AD855" s="512">
        <v>4969.61</v>
      </c>
      <c r="AE855" s="512"/>
      <c r="AF855" s="512" t="s">
        <v>2027</v>
      </c>
      <c r="AG855" s="507"/>
      <c r="AH855" s="507"/>
    </row>
    <row r="856" spans="1:34" ht="31.5">
      <c r="A856" s="585"/>
      <c r="B856" s="586"/>
      <c r="C856" s="135"/>
      <c r="D856" s="14" t="s">
        <v>432</v>
      </c>
      <c r="E856" s="142"/>
      <c r="F856" s="143"/>
      <c r="G856" s="142"/>
      <c r="H856" s="417">
        <v>3132</v>
      </c>
      <c r="I856" s="144">
        <v>125289</v>
      </c>
      <c r="J856" s="144"/>
      <c r="K856" s="144"/>
      <c r="L856" s="49"/>
      <c r="M856" s="144"/>
      <c r="N856" s="407"/>
      <c r="O856" s="144"/>
      <c r="P856" s="407"/>
      <c r="Q856" s="407"/>
      <c r="R856" s="407"/>
      <c r="S856" s="407"/>
      <c r="T856" s="407"/>
      <c r="U856" s="407">
        <v>125289</v>
      </c>
      <c r="V856" s="407"/>
      <c r="W856" s="407"/>
      <c r="X856" s="407"/>
      <c r="Y856" s="407"/>
      <c r="Z856" s="144"/>
      <c r="AA856" s="407">
        <f t="shared" si="111"/>
        <v>125289</v>
      </c>
      <c r="AC856" s="499"/>
      <c r="AD856" s="512"/>
      <c r="AE856" s="512"/>
      <c r="AF856" s="512"/>
      <c r="AG856" s="507"/>
      <c r="AH856" s="507"/>
    </row>
    <row r="857" spans="1:34" ht="31.5">
      <c r="A857" s="585"/>
      <c r="B857" s="586"/>
      <c r="C857" s="135"/>
      <c r="D857" s="14" t="s">
        <v>433</v>
      </c>
      <c r="E857" s="142"/>
      <c r="F857" s="143"/>
      <c r="G857" s="142"/>
      <c r="H857" s="417">
        <v>3132</v>
      </c>
      <c r="I857" s="144">
        <v>289400</v>
      </c>
      <c r="J857" s="144"/>
      <c r="K857" s="144"/>
      <c r="L857" s="49"/>
      <c r="M857" s="144"/>
      <c r="N857" s="407"/>
      <c r="O857" s="144"/>
      <c r="P857" s="407"/>
      <c r="Q857" s="407"/>
      <c r="R857" s="407"/>
      <c r="S857" s="407"/>
      <c r="T857" s="407"/>
      <c r="U857" s="407">
        <v>289400</v>
      </c>
      <c r="V857" s="407"/>
      <c r="W857" s="407"/>
      <c r="X857" s="407"/>
      <c r="Y857" s="407"/>
      <c r="Z857" s="144"/>
      <c r="AA857" s="407">
        <f t="shared" si="111"/>
        <v>289400</v>
      </c>
      <c r="AC857" s="499"/>
      <c r="AD857" s="512"/>
      <c r="AE857" s="512"/>
      <c r="AF857" s="512"/>
      <c r="AG857" s="507"/>
      <c r="AH857" s="507"/>
    </row>
    <row r="858" spans="1:34" ht="31.5">
      <c r="A858" s="585"/>
      <c r="B858" s="586"/>
      <c r="C858" s="135"/>
      <c r="D858" s="14" t="s">
        <v>616</v>
      </c>
      <c r="E858" s="142"/>
      <c r="F858" s="143"/>
      <c r="G858" s="142"/>
      <c r="H858" s="417">
        <v>3132</v>
      </c>
      <c r="I858" s="144">
        <v>400000</v>
      </c>
      <c r="J858" s="144"/>
      <c r="K858" s="144"/>
      <c r="L858" s="49"/>
      <c r="M858" s="144"/>
      <c r="N858" s="407"/>
      <c r="O858" s="144"/>
      <c r="P858" s="407"/>
      <c r="Q858" s="407"/>
      <c r="R858" s="407"/>
      <c r="S858" s="407"/>
      <c r="T858" s="407"/>
      <c r="U858" s="407"/>
      <c r="V858" s="407"/>
      <c r="W858" s="407">
        <v>400000</v>
      </c>
      <c r="X858" s="407"/>
      <c r="Y858" s="407"/>
      <c r="Z858" s="144"/>
      <c r="AA858" s="407">
        <f t="shared" si="111"/>
        <v>400000</v>
      </c>
      <c r="AC858" s="499"/>
      <c r="AD858" s="512"/>
      <c r="AE858" s="512"/>
      <c r="AF858" s="512"/>
      <c r="AG858" s="507"/>
      <c r="AH858" s="507"/>
    </row>
    <row r="859" spans="1:34" ht="31.5">
      <c r="A859" s="585"/>
      <c r="B859" s="586"/>
      <c r="C859" s="135"/>
      <c r="D859" s="14" t="s">
        <v>617</v>
      </c>
      <c r="E859" s="142"/>
      <c r="F859" s="143"/>
      <c r="G859" s="142"/>
      <c r="H859" s="417">
        <v>3132</v>
      </c>
      <c r="I859" s="144">
        <f>300000+231186</f>
        <v>531186</v>
      </c>
      <c r="J859" s="144"/>
      <c r="K859" s="144"/>
      <c r="L859" s="49"/>
      <c r="M859" s="144"/>
      <c r="N859" s="407"/>
      <c r="O859" s="144"/>
      <c r="P859" s="407"/>
      <c r="Q859" s="407"/>
      <c r="R859" s="407"/>
      <c r="S859" s="407"/>
      <c r="T859" s="407"/>
      <c r="U859" s="407"/>
      <c r="V859" s="407"/>
      <c r="W859" s="407">
        <v>300000</v>
      </c>
      <c r="X859" s="407">
        <v>231186</v>
      </c>
      <c r="Y859" s="407"/>
      <c r="Z859" s="144"/>
      <c r="AA859" s="407">
        <f t="shared" si="111"/>
        <v>531186</v>
      </c>
      <c r="AC859" s="499"/>
      <c r="AD859" s="512"/>
      <c r="AE859" s="512"/>
      <c r="AF859" s="512"/>
      <c r="AG859" s="507"/>
      <c r="AH859" s="507"/>
    </row>
    <row r="860" spans="1:34" ht="38.25">
      <c r="A860" s="585"/>
      <c r="B860" s="586"/>
      <c r="C860" s="135" t="s">
        <v>294</v>
      </c>
      <c r="D860" s="14" t="s">
        <v>295</v>
      </c>
      <c r="E860" s="142">
        <v>300</v>
      </c>
      <c r="F860" s="143">
        <f>100%-((E860-G860)/E860)</f>
        <v>1</v>
      </c>
      <c r="G860" s="142">
        <v>300</v>
      </c>
      <c r="H860" s="417">
        <v>3132</v>
      </c>
      <c r="I860" s="144">
        <v>634.38</v>
      </c>
      <c r="J860" s="144"/>
      <c r="K860" s="144"/>
      <c r="L860" s="49">
        <v>634.38</v>
      </c>
      <c r="M860" s="144"/>
      <c r="N860" s="407"/>
      <c r="O860" s="144">
        <v>634.38</v>
      </c>
      <c r="P860" s="407"/>
      <c r="Q860" s="407"/>
      <c r="R860" s="407"/>
      <c r="S860" s="407"/>
      <c r="T860" s="407"/>
      <c r="U860" s="407"/>
      <c r="V860" s="407"/>
      <c r="W860" s="407"/>
      <c r="X860" s="407"/>
      <c r="Y860" s="407"/>
      <c r="Z860" s="144">
        <v>634.38</v>
      </c>
      <c r="AA860" s="407">
        <f t="shared" si="111"/>
        <v>0</v>
      </c>
      <c r="AC860" s="499"/>
      <c r="AD860" s="512">
        <v>634.38</v>
      </c>
      <c r="AE860" s="512"/>
      <c r="AF860" s="512" t="s">
        <v>2028</v>
      </c>
      <c r="AG860" s="507"/>
      <c r="AH860" s="507"/>
    </row>
    <row r="861" spans="1:34" ht="114.75">
      <c r="A861" s="585"/>
      <c r="B861" s="586"/>
      <c r="C861" s="135" t="s">
        <v>296</v>
      </c>
      <c r="D861" s="14" t="s">
        <v>695</v>
      </c>
      <c r="E861" s="142">
        <v>180</v>
      </c>
      <c r="F861" s="143">
        <f>100%-((E861-G861)/E861)</f>
        <v>1</v>
      </c>
      <c r="G861" s="142">
        <v>180</v>
      </c>
      <c r="H861" s="417">
        <v>3132</v>
      </c>
      <c r="I861" s="144">
        <v>71938.11</v>
      </c>
      <c r="J861" s="144"/>
      <c r="K861" s="144"/>
      <c r="L861" s="49">
        <v>71938.11</v>
      </c>
      <c r="M861" s="144"/>
      <c r="N861" s="407"/>
      <c r="O861" s="144">
        <v>71938.11</v>
      </c>
      <c r="P861" s="407"/>
      <c r="Q861" s="407"/>
      <c r="R861" s="407"/>
      <c r="S861" s="407"/>
      <c r="T861" s="407"/>
      <c r="U861" s="407"/>
      <c r="V861" s="407"/>
      <c r="W861" s="407"/>
      <c r="X861" s="407"/>
      <c r="Y861" s="407"/>
      <c r="Z861" s="144">
        <f>71938.11-63.92</f>
        <v>71874.19</v>
      </c>
      <c r="AA861" s="407">
        <f t="shared" si="111"/>
        <v>63.92</v>
      </c>
      <c r="AC861" s="499"/>
      <c r="AD861" s="512">
        <v>71938.11</v>
      </c>
      <c r="AE861" s="512"/>
      <c r="AF861" s="512" t="s">
        <v>2029</v>
      </c>
      <c r="AG861" s="507"/>
      <c r="AH861" s="507"/>
    </row>
    <row r="862" spans="1:34" s="362" customFormat="1" ht="47.25" hidden="1">
      <c r="A862" s="585"/>
      <c r="B862" s="586"/>
      <c r="C862" s="135"/>
      <c r="D862" s="14" t="s">
        <v>398</v>
      </c>
      <c r="E862" s="142"/>
      <c r="F862" s="143"/>
      <c r="G862" s="142"/>
      <c r="H862" s="417">
        <v>3132</v>
      </c>
      <c r="I862" s="144">
        <f>1875000-1875000</f>
        <v>0</v>
      </c>
      <c r="J862" s="144"/>
      <c r="K862" s="144"/>
      <c r="L862" s="76"/>
      <c r="M862" s="76">
        <v>1875000</v>
      </c>
      <c r="N862" s="407"/>
      <c r="O862" s="407"/>
      <c r="P862" s="407"/>
      <c r="Q862" s="407">
        <v>1815000</v>
      </c>
      <c r="R862" s="407">
        <v>60000</v>
      </c>
      <c r="S862" s="407"/>
      <c r="T862" s="407"/>
      <c r="U862" s="407">
        <v>-1875000</v>
      </c>
      <c r="V862" s="407"/>
      <c r="W862" s="407"/>
      <c r="X862" s="407"/>
      <c r="Y862" s="407"/>
      <c r="Z862" s="407"/>
      <c r="AA862" s="407">
        <f t="shared" si="111"/>
        <v>0</v>
      </c>
      <c r="AC862" s="501"/>
      <c r="AD862" s="512"/>
      <c r="AE862" s="512"/>
      <c r="AF862" s="512"/>
      <c r="AG862" s="507"/>
      <c r="AH862" s="507"/>
    </row>
    <row r="863" spans="1:34" s="362" customFormat="1" ht="51">
      <c r="A863" s="585"/>
      <c r="B863" s="586"/>
      <c r="C863" s="135"/>
      <c r="D863" s="14" t="s">
        <v>399</v>
      </c>
      <c r="E863" s="142"/>
      <c r="F863" s="143"/>
      <c r="G863" s="142"/>
      <c r="H863" s="417">
        <v>3132</v>
      </c>
      <c r="I863" s="144">
        <v>369070.39</v>
      </c>
      <c r="J863" s="144"/>
      <c r="K863" s="144"/>
      <c r="L863" s="76"/>
      <c r="M863" s="76">
        <v>369070.39</v>
      </c>
      <c r="N863" s="407"/>
      <c r="O863" s="407"/>
      <c r="P863" s="407"/>
      <c r="Q863" s="407"/>
      <c r="R863" s="407"/>
      <c r="S863" s="407"/>
      <c r="T863" s="407"/>
      <c r="U863" s="76">
        <f>369070.39-250000</f>
        <v>119070.39</v>
      </c>
      <c r="V863" s="407"/>
      <c r="W863" s="407"/>
      <c r="X863" s="407"/>
      <c r="Y863" s="407">
        <v>250000</v>
      </c>
      <c r="Z863" s="407"/>
      <c r="AA863" s="407">
        <f t="shared" si="111"/>
        <v>119070.39</v>
      </c>
      <c r="AC863" s="501"/>
      <c r="AD863" s="512">
        <v>369070.39</v>
      </c>
      <c r="AE863" s="512">
        <v>1058633</v>
      </c>
      <c r="AF863" s="512"/>
      <c r="AG863" s="507" t="s">
        <v>2030</v>
      </c>
      <c r="AH863" s="507" t="s">
        <v>2031</v>
      </c>
    </row>
    <row r="864" spans="1:34" s="362" customFormat="1" ht="89.25">
      <c r="A864" s="585"/>
      <c r="B864" s="586"/>
      <c r="C864" s="135"/>
      <c r="D864" s="375" t="s">
        <v>407</v>
      </c>
      <c r="E864" s="142"/>
      <c r="F864" s="143"/>
      <c r="G864" s="142"/>
      <c r="H864" s="417">
        <v>3132</v>
      </c>
      <c r="I864" s="144">
        <f>192035+60000+28814</f>
        <v>280849</v>
      </c>
      <c r="J864" s="144"/>
      <c r="K864" s="144"/>
      <c r="L864" s="76"/>
      <c r="M864" s="76">
        <v>192035</v>
      </c>
      <c r="N864" s="407"/>
      <c r="O864" s="407"/>
      <c r="P864" s="407"/>
      <c r="Q864" s="407"/>
      <c r="R864" s="76">
        <v>192035</v>
      </c>
      <c r="S864" s="407"/>
      <c r="T864" s="407"/>
      <c r="U864" s="407"/>
      <c r="V864" s="407"/>
      <c r="W864" s="407">
        <v>60000</v>
      </c>
      <c r="X864" s="407">
        <v>28814</v>
      </c>
      <c r="Y864" s="407"/>
      <c r="Z864" s="407">
        <f>56589.6+15036+70406.4+2577.98</f>
        <v>144609.98</v>
      </c>
      <c r="AA864" s="407">
        <f t="shared" si="111"/>
        <v>136239.02</v>
      </c>
      <c r="AC864" s="501"/>
      <c r="AD864" s="512">
        <v>192035</v>
      </c>
      <c r="AE864" s="512" t="s">
        <v>2032</v>
      </c>
      <c r="AF864" s="512" t="s">
        <v>1623</v>
      </c>
      <c r="AG864" s="507" t="s">
        <v>1624</v>
      </c>
      <c r="AH864" s="507" t="s">
        <v>2031</v>
      </c>
    </row>
    <row r="865" spans="1:34" s="362" customFormat="1" ht="76.5">
      <c r="A865" s="585"/>
      <c r="B865" s="586"/>
      <c r="C865" s="135"/>
      <c r="D865" s="375" t="s">
        <v>400</v>
      </c>
      <c r="E865" s="142"/>
      <c r="F865" s="143"/>
      <c r="G865" s="142"/>
      <c r="H865" s="417">
        <v>3132</v>
      </c>
      <c r="I865" s="144">
        <v>10000</v>
      </c>
      <c r="J865" s="144"/>
      <c r="K865" s="144"/>
      <c r="L865" s="76"/>
      <c r="M865" s="76">
        <v>10000</v>
      </c>
      <c r="N865" s="407"/>
      <c r="O865" s="407"/>
      <c r="P865" s="407"/>
      <c r="Q865" s="407"/>
      <c r="R865" s="76">
        <v>10000</v>
      </c>
      <c r="S865" s="407"/>
      <c r="T865" s="407"/>
      <c r="U865" s="407"/>
      <c r="V865" s="407"/>
      <c r="W865" s="407"/>
      <c r="X865" s="407"/>
      <c r="Y865" s="407"/>
      <c r="Z865" s="407"/>
      <c r="AA865" s="407">
        <f t="shared" si="111"/>
        <v>10000</v>
      </c>
      <c r="AC865" s="501"/>
      <c r="AD865" s="512">
        <v>10000</v>
      </c>
      <c r="AE865" s="512" t="s">
        <v>1542</v>
      </c>
      <c r="AF865" s="512" t="s">
        <v>1625</v>
      </c>
      <c r="AG865" s="507" t="s">
        <v>1626</v>
      </c>
      <c r="AH865" s="507" t="s">
        <v>1542</v>
      </c>
    </row>
    <row r="866" spans="1:34" s="362" customFormat="1" ht="15.75">
      <c r="A866" s="585"/>
      <c r="B866" s="586"/>
      <c r="C866" s="135"/>
      <c r="D866" s="14" t="s">
        <v>1435</v>
      </c>
      <c r="E866" s="142"/>
      <c r="F866" s="143"/>
      <c r="G866" s="142"/>
      <c r="H866" s="417">
        <v>3132</v>
      </c>
      <c r="I866" s="144">
        <v>45000</v>
      </c>
      <c r="J866" s="144"/>
      <c r="K866" s="144"/>
      <c r="L866" s="76"/>
      <c r="M866" s="76">
        <v>45000</v>
      </c>
      <c r="N866" s="407"/>
      <c r="O866" s="407"/>
      <c r="P866" s="407"/>
      <c r="Q866" s="407"/>
      <c r="R866" s="407"/>
      <c r="S866" s="407"/>
      <c r="T866" s="76">
        <v>45000</v>
      </c>
      <c r="U866" s="407"/>
      <c r="V866" s="407"/>
      <c r="W866" s="407"/>
      <c r="X866" s="407"/>
      <c r="Y866" s="407"/>
      <c r="Z866" s="407"/>
      <c r="AA866" s="407">
        <f t="shared" si="111"/>
        <v>45000</v>
      </c>
      <c r="AC866" s="501"/>
      <c r="AD866" s="512">
        <v>45000</v>
      </c>
      <c r="AE866" s="512"/>
      <c r="AF866" s="512"/>
      <c r="AG866" s="507"/>
      <c r="AH866" s="507"/>
    </row>
    <row r="867" spans="1:34" s="362" customFormat="1" ht="89.25" hidden="1">
      <c r="A867" s="585"/>
      <c r="B867" s="586"/>
      <c r="C867" s="135"/>
      <c r="D867" s="14" t="s">
        <v>401</v>
      </c>
      <c r="E867" s="142"/>
      <c r="F867" s="143"/>
      <c r="G867" s="142"/>
      <c r="H867" s="417">
        <v>3132</v>
      </c>
      <c r="I867" s="144">
        <f>700000-700000</f>
        <v>0</v>
      </c>
      <c r="J867" s="144"/>
      <c r="K867" s="144"/>
      <c r="L867" s="76"/>
      <c r="M867" s="76">
        <v>700000</v>
      </c>
      <c r="N867" s="407"/>
      <c r="O867" s="407"/>
      <c r="P867" s="407"/>
      <c r="Q867" s="407"/>
      <c r="R867" s="407"/>
      <c r="S867" s="407">
        <v>30000</v>
      </c>
      <c r="T867" s="407">
        <v>335000</v>
      </c>
      <c r="U867" s="407">
        <v>335000</v>
      </c>
      <c r="V867" s="407"/>
      <c r="W867" s="407">
        <v>-700000</v>
      </c>
      <c r="X867" s="407"/>
      <c r="Y867" s="407"/>
      <c r="Z867" s="407"/>
      <c r="AA867" s="407">
        <f t="shared" si="111"/>
        <v>0</v>
      </c>
      <c r="AC867" s="501"/>
      <c r="AD867" s="512">
        <v>700000</v>
      </c>
      <c r="AE867" s="512" t="s">
        <v>1627</v>
      </c>
      <c r="AF867" s="512"/>
      <c r="AG867" s="507" t="s">
        <v>1628</v>
      </c>
      <c r="AH867" s="507" t="s">
        <v>1629</v>
      </c>
    </row>
    <row r="868" spans="1:34" s="362" customFormat="1" ht="31.5" hidden="1">
      <c r="A868" s="585"/>
      <c r="B868" s="586"/>
      <c r="C868" s="135"/>
      <c r="D868" s="14" t="s">
        <v>402</v>
      </c>
      <c r="E868" s="142"/>
      <c r="F868" s="143"/>
      <c r="G868" s="142"/>
      <c r="H868" s="417">
        <v>3132</v>
      </c>
      <c r="I868" s="144">
        <f>575770-575770</f>
        <v>0</v>
      </c>
      <c r="J868" s="144"/>
      <c r="K868" s="144"/>
      <c r="L868" s="76"/>
      <c r="M868" s="76">
        <v>575770</v>
      </c>
      <c r="N868" s="407"/>
      <c r="O868" s="407"/>
      <c r="P868" s="407"/>
      <c r="Q868" s="407">
        <v>575770</v>
      </c>
      <c r="R868" s="407">
        <v>-575770</v>
      </c>
      <c r="S868" s="407"/>
      <c r="T868" s="407"/>
      <c r="U868" s="407"/>
      <c r="V868" s="407"/>
      <c r="W868" s="407"/>
      <c r="X868" s="407"/>
      <c r="Y868" s="407"/>
      <c r="Z868" s="407"/>
      <c r="AA868" s="407">
        <f t="shared" si="111"/>
        <v>0</v>
      </c>
      <c r="AC868" s="501"/>
      <c r="AD868" s="512"/>
      <c r="AE868" s="512"/>
      <c r="AF868" s="512"/>
      <c r="AG868" s="507"/>
      <c r="AH868" s="507"/>
    </row>
    <row r="869" spans="1:34" s="362" customFormat="1" ht="76.5">
      <c r="A869" s="585"/>
      <c r="B869" s="586"/>
      <c r="C869" s="135"/>
      <c r="D869" s="13" t="s">
        <v>967</v>
      </c>
      <c r="E869" s="142"/>
      <c r="F869" s="143"/>
      <c r="G869" s="142"/>
      <c r="H869" s="417">
        <v>3132</v>
      </c>
      <c r="I869" s="144">
        <v>230000</v>
      </c>
      <c r="J869" s="144"/>
      <c r="K869" s="144"/>
      <c r="L869" s="76"/>
      <c r="M869" s="76">
        <v>230000</v>
      </c>
      <c r="N869" s="407"/>
      <c r="O869" s="407"/>
      <c r="P869" s="407"/>
      <c r="Q869" s="407"/>
      <c r="R869" s="407">
        <v>70000</v>
      </c>
      <c r="S869" s="407">
        <v>80000</v>
      </c>
      <c r="T869" s="407">
        <v>80000</v>
      </c>
      <c r="U869" s="407"/>
      <c r="V869" s="407"/>
      <c r="W869" s="407"/>
      <c r="X869" s="407"/>
      <c r="Y869" s="407"/>
      <c r="Z869" s="407"/>
      <c r="AA869" s="407">
        <f t="shared" si="111"/>
        <v>230000</v>
      </c>
      <c r="AC869" s="501"/>
      <c r="AD869" s="512">
        <v>230000</v>
      </c>
      <c r="AE869" s="512" t="s">
        <v>1542</v>
      </c>
      <c r="AF869" s="512"/>
      <c r="AG869" s="507" t="s">
        <v>714</v>
      </c>
      <c r="AH869" s="507" t="s">
        <v>1542</v>
      </c>
    </row>
    <row r="870" spans="1:34" s="362" customFormat="1" ht="31.5">
      <c r="A870" s="585"/>
      <c r="B870" s="586"/>
      <c r="C870" s="135"/>
      <c r="D870" s="14" t="s">
        <v>968</v>
      </c>
      <c r="E870" s="142"/>
      <c r="F870" s="143"/>
      <c r="G870" s="142"/>
      <c r="H870" s="417">
        <v>3132</v>
      </c>
      <c r="I870" s="144">
        <v>40000</v>
      </c>
      <c r="J870" s="144"/>
      <c r="K870" s="144"/>
      <c r="L870" s="76"/>
      <c r="M870" s="76">
        <v>40000</v>
      </c>
      <c r="N870" s="407"/>
      <c r="O870" s="407"/>
      <c r="P870" s="407"/>
      <c r="Q870" s="407">
        <v>40000</v>
      </c>
      <c r="R870" s="407"/>
      <c r="S870" s="407"/>
      <c r="T870" s="407"/>
      <c r="U870" s="407"/>
      <c r="V870" s="407"/>
      <c r="W870" s="407"/>
      <c r="X870" s="407"/>
      <c r="Y870" s="407"/>
      <c r="Z870" s="407"/>
      <c r="AA870" s="407">
        <f t="shared" si="111"/>
        <v>40000</v>
      </c>
      <c r="AC870" s="501"/>
      <c r="AD870" s="512">
        <v>40000</v>
      </c>
      <c r="AE870" s="512"/>
      <c r="AF870" s="512"/>
      <c r="AG870" s="507"/>
      <c r="AH870" s="507"/>
    </row>
    <row r="871" spans="1:34" s="362" customFormat="1" ht="51">
      <c r="A871" s="585"/>
      <c r="B871" s="586"/>
      <c r="C871" s="135" t="s">
        <v>690</v>
      </c>
      <c r="D871" s="14" t="s">
        <v>951</v>
      </c>
      <c r="E871" s="142">
        <v>200</v>
      </c>
      <c r="F871" s="143">
        <f>100%-((E871-G871)/E871)</f>
        <v>1</v>
      </c>
      <c r="G871" s="142">
        <v>200</v>
      </c>
      <c r="H871" s="417">
        <v>3132</v>
      </c>
      <c r="I871" s="144">
        <v>75000</v>
      </c>
      <c r="J871" s="144"/>
      <c r="K871" s="144"/>
      <c r="L871" s="76"/>
      <c r="M871" s="76">
        <v>75000</v>
      </c>
      <c r="N871" s="407"/>
      <c r="O871" s="407"/>
      <c r="P871" s="407"/>
      <c r="Q871" s="407"/>
      <c r="R871" s="407">
        <v>15000</v>
      </c>
      <c r="S871" s="407">
        <v>30000</v>
      </c>
      <c r="T871" s="407">
        <v>30000</v>
      </c>
      <c r="U871" s="407"/>
      <c r="V871" s="407"/>
      <c r="W871" s="407"/>
      <c r="X871" s="407"/>
      <c r="Y871" s="407"/>
      <c r="Z871" s="407">
        <f>1371.2+34294.2+34294.2+1048</f>
        <v>71007.6</v>
      </c>
      <c r="AA871" s="407">
        <f t="shared" si="111"/>
        <v>3992.4</v>
      </c>
      <c r="AC871" s="501"/>
      <c r="AD871" s="512">
        <v>75000</v>
      </c>
      <c r="AE871" s="512">
        <v>78433</v>
      </c>
      <c r="AF871" s="512" t="s">
        <v>715</v>
      </c>
      <c r="AG871" s="507"/>
      <c r="AH871" s="507" t="s">
        <v>1629</v>
      </c>
    </row>
    <row r="872" spans="1:34" s="362" customFormat="1" ht="31.5">
      <c r="A872" s="585"/>
      <c r="B872" s="586"/>
      <c r="C872" s="135" t="s">
        <v>1434</v>
      </c>
      <c r="D872" s="14" t="s">
        <v>952</v>
      </c>
      <c r="E872" s="142">
        <v>2500</v>
      </c>
      <c r="F872" s="143">
        <f>100%-((E872-G872)/E872)</f>
        <v>1</v>
      </c>
      <c r="G872" s="142">
        <v>2500</v>
      </c>
      <c r="H872" s="417">
        <v>3132</v>
      </c>
      <c r="I872" s="144">
        <v>355000</v>
      </c>
      <c r="J872" s="144"/>
      <c r="K872" s="144"/>
      <c r="L872" s="76"/>
      <c r="M872" s="76">
        <v>355000</v>
      </c>
      <c r="N872" s="407"/>
      <c r="O872" s="407"/>
      <c r="P872" s="407"/>
      <c r="Q872" s="407">
        <v>355000</v>
      </c>
      <c r="R872" s="407"/>
      <c r="S872" s="407"/>
      <c r="T872" s="407"/>
      <c r="U872" s="407"/>
      <c r="V872" s="407"/>
      <c r="W872" s="407"/>
      <c r="X872" s="407"/>
      <c r="Y872" s="407"/>
      <c r="Z872" s="407"/>
      <c r="AA872" s="407">
        <f t="shared" si="111"/>
        <v>355000</v>
      </c>
      <c r="AC872" s="501"/>
      <c r="AD872" s="512">
        <v>355000</v>
      </c>
      <c r="AE872" s="512"/>
      <c r="AF872" s="512"/>
      <c r="AG872" s="507"/>
      <c r="AH872" s="507"/>
    </row>
    <row r="873" spans="1:34" s="30" customFormat="1" ht="15.75">
      <c r="A873" s="585" t="s">
        <v>1207</v>
      </c>
      <c r="B873" s="586" t="s">
        <v>1390</v>
      </c>
      <c r="C873" s="195"/>
      <c r="D873" s="136" t="s">
        <v>1456</v>
      </c>
      <c r="E873" s="137"/>
      <c r="F873" s="159"/>
      <c r="G873" s="137"/>
      <c r="H873" s="416"/>
      <c r="I873" s="139">
        <f>I874</f>
        <v>200000</v>
      </c>
      <c r="J873" s="139">
        <f>J874</f>
        <v>0</v>
      </c>
      <c r="K873" s="139">
        <f>K874</f>
        <v>0</v>
      </c>
      <c r="L873" s="139">
        <f>L874</f>
        <v>200000</v>
      </c>
      <c r="M873" s="139">
        <f>M874</f>
        <v>0</v>
      </c>
      <c r="N873" s="139">
        <f aca="true" t="shared" si="122" ref="N873:Z873">N874</f>
        <v>0</v>
      </c>
      <c r="O873" s="139">
        <f t="shared" si="122"/>
        <v>0</v>
      </c>
      <c r="P873" s="139">
        <f t="shared" si="122"/>
        <v>0</v>
      </c>
      <c r="Q873" s="139">
        <f t="shared" si="122"/>
        <v>0</v>
      </c>
      <c r="R873" s="139">
        <f t="shared" si="122"/>
        <v>0</v>
      </c>
      <c r="S873" s="139">
        <f t="shared" si="122"/>
        <v>40000</v>
      </c>
      <c r="T873" s="139">
        <f t="shared" si="122"/>
        <v>0</v>
      </c>
      <c r="U873" s="139">
        <f t="shared" si="122"/>
        <v>0</v>
      </c>
      <c r="V873" s="139">
        <f t="shared" si="122"/>
        <v>0</v>
      </c>
      <c r="W873" s="139">
        <f t="shared" si="122"/>
        <v>0</v>
      </c>
      <c r="X873" s="139">
        <f t="shared" si="122"/>
        <v>0</v>
      </c>
      <c r="Y873" s="139">
        <f t="shared" si="122"/>
        <v>160000</v>
      </c>
      <c r="Z873" s="139">
        <f t="shared" si="122"/>
        <v>0</v>
      </c>
      <c r="AA873" s="407">
        <f t="shared" si="111"/>
        <v>40000</v>
      </c>
      <c r="AC873" s="59"/>
      <c r="AD873" s="512"/>
      <c r="AE873" s="512"/>
      <c r="AF873" s="512"/>
      <c r="AG873" s="507"/>
      <c r="AH873" s="507"/>
    </row>
    <row r="874" spans="1:34" ht="47.25">
      <c r="A874" s="585"/>
      <c r="B874" s="586"/>
      <c r="C874" s="135" t="s">
        <v>1436</v>
      </c>
      <c r="D874" s="141" t="s">
        <v>681</v>
      </c>
      <c r="E874" s="142">
        <v>200</v>
      </c>
      <c r="F874" s="143">
        <f>100%-((E874-G874)/E874)</f>
        <v>1</v>
      </c>
      <c r="G874" s="142">
        <v>200</v>
      </c>
      <c r="H874" s="417">
        <v>3132</v>
      </c>
      <c r="I874" s="144">
        <v>200000</v>
      </c>
      <c r="J874" s="144"/>
      <c r="K874" s="144"/>
      <c r="L874" s="471">
        <v>200000</v>
      </c>
      <c r="M874" s="144"/>
      <c r="N874" s="407"/>
      <c r="O874" s="407"/>
      <c r="P874" s="407"/>
      <c r="Q874" s="407"/>
      <c r="R874" s="407"/>
      <c r="S874" s="407">
        <v>40000</v>
      </c>
      <c r="T874" s="407">
        <f>40000-40000</f>
        <v>0</v>
      </c>
      <c r="U874" s="407">
        <f>40000-40000</f>
        <v>0</v>
      </c>
      <c r="V874" s="407">
        <f>40000-40000</f>
        <v>0</v>
      </c>
      <c r="W874" s="407">
        <f>40000-40000</f>
        <v>0</v>
      </c>
      <c r="X874" s="407"/>
      <c r="Y874" s="407">
        <v>160000</v>
      </c>
      <c r="Z874" s="407"/>
      <c r="AA874" s="407">
        <f t="shared" si="111"/>
        <v>40000</v>
      </c>
      <c r="AC874" s="499"/>
      <c r="AD874" s="512">
        <v>200000</v>
      </c>
      <c r="AE874" s="512"/>
      <c r="AF874" s="512"/>
      <c r="AG874" s="507"/>
      <c r="AH874" s="507"/>
    </row>
    <row r="875" spans="1:34" s="30" customFormat="1" ht="15.75" customHeight="1">
      <c r="A875" s="581" t="s">
        <v>304</v>
      </c>
      <c r="B875" s="605" t="s">
        <v>1579</v>
      </c>
      <c r="C875" s="195"/>
      <c r="D875" s="136" t="s">
        <v>1456</v>
      </c>
      <c r="E875" s="137"/>
      <c r="F875" s="159"/>
      <c r="G875" s="137"/>
      <c r="H875" s="416"/>
      <c r="I875" s="139">
        <f aca="true" t="shared" si="123" ref="I875:Z875">SUM(I876:I881)</f>
        <v>85887.28</v>
      </c>
      <c r="J875" s="139">
        <f t="shared" si="123"/>
        <v>0</v>
      </c>
      <c r="K875" s="139">
        <f t="shared" si="123"/>
        <v>0</v>
      </c>
      <c r="L875" s="139">
        <f t="shared" si="123"/>
        <v>84320.28</v>
      </c>
      <c r="M875" s="139">
        <f t="shared" si="123"/>
        <v>1097000</v>
      </c>
      <c r="N875" s="139">
        <f t="shared" si="123"/>
        <v>0</v>
      </c>
      <c r="O875" s="139">
        <f t="shared" si="123"/>
        <v>84320.28</v>
      </c>
      <c r="P875" s="139">
        <f t="shared" si="123"/>
        <v>0</v>
      </c>
      <c r="Q875" s="139">
        <f t="shared" si="123"/>
        <v>0</v>
      </c>
      <c r="R875" s="139">
        <f t="shared" si="123"/>
        <v>150000</v>
      </c>
      <c r="S875" s="139">
        <f t="shared" si="123"/>
        <v>170000</v>
      </c>
      <c r="T875" s="139">
        <f t="shared" si="123"/>
        <v>235000</v>
      </c>
      <c r="U875" s="139">
        <f t="shared" si="123"/>
        <v>85000</v>
      </c>
      <c r="V875" s="139">
        <f t="shared" si="123"/>
        <v>57000</v>
      </c>
      <c r="W875" s="139">
        <f t="shared" si="123"/>
        <v>-147000</v>
      </c>
      <c r="X875" s="139">
        <f t="shared" si="123"/>
        <v>-548433</v>
      </c>
      <c r="Y875" s="139">
        <f t="shared" si="123"/>
        <v>0</v>
      </c>
      <c r="Z875" s="139">
        <f t="shared" si="123"/>
        <v>85822.9</v>
      </c>
      <c r="AA875" s="407">
        <f t="shared" si="111"/>
        <v>64.38</v>
      </c>
      <c r="AC875" s="59"/>
      <c r="AD875" s="512"/>
      <c r="AE875" s="512"/>
      <c r="AF875" s="512"/>
      <c r="AG875" s="507"/>
      <c r="AH875" s="507"/>
    </row>
    <row r="876" spans="1:34" ht="63">
      <c r="A876" s="582"/>
      <c r="B876" s="607"/>
      <c r="C876" s="135" t="s">
        <v>629</v>
      </c>
      <c r="D876" s="141" t="s">
        <v>373</v>
      </c>
      <c r="E876" s="142">
        <v>90</v>
      </c>
      <c r="F876" s="143">
        <f>100%-((E876-G876)/E876)</f>
        <v>1</v>
      </c>
      <c r="G876" s="142">
        <v>90</v>
      </c>
      <c r="H876" s="417">
        <v>3132</v>
      </c>
      <c r="I876" s="144">
        <f>84320.28</f>
        <v>84320.28</v>
      </c>
      <c r="J876" s="144"/>
      <c r="K876" s="144"/>
      <c r="L876" s="144">
        <v>84320.28</v>
      </c>
      <c r="M876" s="144"/>
      <c r="N876" s="407"/>
      <c r="O876" s="144">
        <v>84320.28</v>
      </c>
      <c r="P876" s="407"/>
      <c r="Q876" s="407"/>
      <c r="R876" s="407"/>
      <c r="S876" s="407"/>
      <c r="T876" s="407"/>
      <c r="U876" s="407"/>
      <c r="V876" s="407"/>
      <c r="W876" s="407"/>
      <c r="X876" s="407"/>
      <c r="Y876" s="407"/>
      <c r="Z876" s="144">
        <v>84320.28</v>
      </c>
      <c r="AA876" s="407">
        <f aca="true" t="shared" si="124" ref="AA876:AA939">N876+O876+P876+Q876+R876+S876+T876+U876+V876+W876+X876-Z876</f>
        <v>0</v>
      </c>
      <c r="AC876" s="499"/>
      <c r="AD876" s="512">
        <v>84320.28</v>
      </c>
      <c r="AE876" s="512"/>
      <c r="AF876" s="512" t="s">
        <v>716</v>
      </c>
      <c r="AG876" s="507"/>
      <c r="AH876" s="507"/>
    </row>
    <row r="877" spans="1:34" s="362" customFormat="1" ht="63" hidden="1">
      <c r="A877" s="582"/>
      <c r="B877" s="607"/>
      <c r="C877" s="135"/>
      <c r="D877" s="13" t="s">
        <v>953</v>
      </c>
      <c r="E877" s="142"/>
      <c r="F877" s="143"/>
      <c r="G877" s="142"/>
      <c r="H877" s="417">
        <v>3132</v>
      </c>
      <c r="I877" s="144">
        <f>40000-40000</f>
        <v>0</v>
      </c>
      <c r="J877" s="144"/>
      <c r="K877" s="144"/>
      <c r="L877" s="76"/>
      <c r="M877" s="76">
        <v>40000</v>
      </c>
      <c r="N877" s="407"/>
      <c r="O877" s="407"/>
      <c r="P877" s="407"/>
      <c r="Q877" s="407"/>
      <c r="R877" s="407"/>
      <c r="S877" s="407">
        <v>40000</v>
      </c>
      <c r="T877" s="407"/>
      <c r="U877" s="407"/>
      <c r="V877" s="407"/>
      <c r="W877" s="407">
        <v>-40000</v>
      </c>
      <c r="X877" s="407"/>
      <c r="Y877" s="407"/>
      <c r="Z877" s="407"/>
      <c r="AA877" s="407">
        <f t="shared" si="124"/>
        <v>0</v>
      </c>
      <c r="AC877" s="501"/>
      <c r="AD877" s="512">
        <v>40000</v>
      </c>
      <c r="AE877" s="512"/>
      <c r="AF877" s="512"/>
      <c r="AG877" s="507"/>
      <c r="AH877" s="507"/>
    </row>
    <row r="878" spans="1:34" s="362" customFormat="1" ht="47.25">
      <c r="A878" s="582"/>
      <c r="B878" s="607"/>
      <c r="C878" s="135"/>
      <c r="D878" s="13" t="s">
        <v>2125</v>
      </c>
      <c r="E878" s="142"/>
      <c r="F878" s="143"/>
      <c r="G878" s="142"/>
      <c r="H878" s="417">
        <v>3132</v>
      </c>
      <c r="I878" s="144">
        <v>1567</v>
      </c>
      <c r="J878" s="144"/>
      <c r="K878" s="144"/>
      <c r="L878" s="76"/>
      <c r="M878" s="76"/>
      <c r="N878" s="407"/>
      <c r="O878" s="407"/>
      <c r="P878" s="407"/>
      <c r="Q878" s="407"/>
      <c r="R878" s="407"/>
      <c r="S878" s="407"/>
      <c r="T878" s="407"/>
      <c r="U878" s="407"/>
      <c r="V878" s="407"/>
      <c r="W878" s="407"/>
      <c r="X878" s="407">
        <v>1567</v>
      </c>
      <c r="Y878" s="407"/>
      <c r="Z878" s="407">
        <v>1502.62</v>
      </c>
      <c r="AA878" s="407">
        <f t="shared" si="124"/>
        <v>64.38</v>
      </c>
      <c r="AC878" s="501"/>
      <c r="AD878" s="512"/>
      <c r="AE878" s="512"/>
      <c r="AF878" s="512"/>
      <c r="AG878" s="507"/>
      <c r="AH878" s="507"/>
    </row>
    <row r="879" spans="1:34" s="362" customFormat="1" ht="51" hidden="1">
      <c r="A879" s="582"/>
      <c r="B879" s="607"/>
      <c r="C879" s="135"/>
      <c r="D879" s="13" t="s">
        <v>825</v>
      </c>
      <c r="E879" s="142"/>
      <c r="F879" s="143"/>
      <c r="G879" s="142"/>
      <c r="H879" s="417">
        <v>3132</v>
      </c>
      <c r="I879" s="144">
        <f>550000-550000</f>
        <v>0</v>
      </c>
      <c r="J879" s="144"/>
      <c r="K879" s="144"/>
      <c r="L879" s="76"/>
      <c r="M879" s="76">
        <v>550000</v>
      </c>
      <c r="N879" s="407"/>
      <c r="O879" s="407"/>
      <c r="P879" s="407"/>
      <c r="Q879" s="407"/>
      <c r="R879" s="407">
        <v>150000</v>
      </c>
      <c r="S879" s="407">
        <v>100000</v>
      </c>
      <c r="T879" s="407">
        <v>200000</v>
      </c>
      <c r="U879" s="407">
        <v>100000</v>
      </c>
      <c r="V879" s="407"/>
      <c r="W879" s="407"/>
      <c r="X879" s="407">
        <v>-550000</v>
      </c>
      <c r="Y879" s="407"/>
      <c r="Z879" s="407">
        <f>600-600</f>
        <v>0</v>
      </c>
      <c r="AA879" s="407">
        <f t="shared" si="124"/>
        <v>0</v>
      </c>
      <c r="AC879" s="501"/>
      <c r="AD879" s="512">
        <v>550000</v>
      </c>
      <c r="AE879" s="512">
        <v>534388</v>
      </c>
      <c r="AF879" s="512"/>
      <c r="AG879" s="507" t="s">
        <v>717</v>
      </c>
      <c r="AH879" s="507" t="s">
        <v>1629</v>
      </c>
    </row>
    <row r="880" spans="1:34" s="362" customFormat="1" ht="47.25" hidden="1">
      <c r="A880" s="582"/>
      <c r="B880" s="607"/>
      <c r="C880" s="135"/>
      <c r="D880" s="262" t="s">
        <v>437</v>
      </c>
      <c r="E880" s="142"/>
      <c r="F880" s="143"/>
      <c r="G880" s="142"/>
      <c r="H880" s="417">
        <v>3132</v>
      </c>
      <c r="I880" s="144">
        <f>50000-50000</f>
        <v>0</v>
      </c>
      <c r="J880" s="144"/>
      <c r="K880" s="144"/>
      <c r="L880" s="76"/>
      <c r="M880" s="76">
        <v>50000</v>
      </c>
      <c r="N880" s="407"/>
      <c r="O880" s="407"/>
      <c r="P880" s="407"/>
      <c r="Q880" s="407"/>
      <c r="R880" s="407"/>
      <c r="S880" s="407">
        <v>15000</v>
      </c>
      <c r="T880" s="407">
        <v>35000</v>
      </c>
      <c r="U880" s="407"/>
      <c r="V880" s="407"/>
      <c r="W880" s="407">
        <v>-50000</v>
      </c>
      <c r="X880" s="407"/>
      <c r="Y880" s="407"/>
      <c r="Z880" s="407"/>
      <c r="AA880" s="407">
        <f t="shared" si="124"/>
        <v>0</v>
      </c>
      <c r="AC880" s="501"/>
      <c r="AD880" s="512">
        <v>50000</v>
      </c>
      <c r="AE880" s="512"/>
      <c r="AF880" s="512"/>
      <c r="AG880" s="507"/>
      <c r="AH880" s="507"/>
    </row>
    <row r="881" spans="1:34" s="362" customFormat="1" ht="31.5" hidden="1">
      <c r="A881" s="583"/>
      <c r="B881" s="606"/>
      <c r="C881" s="135"/>
      <c r="D881" s="262" t="s">
        <v>1686</v>
      </c>
      <c r="E881" s="142"/>
      <c r="F881" s="143"/>
      <c r="G881" s="142"/>
      <c r="H881" s="417">
        <v>3132</v>
      </c>
      <c r="I881" s="144">
        <f>457000-400000-57000</f>
        <v>0</v>
      </c>
      <c r="J881" s="144"/>
      <c r="K881" s="144"/>
      <c r="L881" s="76"/>
      <c r="M881" s="76">
        <v>457000</v>
      </c>
      <c r="N881" s="407"/>
      <c r="O881" s="407"/>
      <c r="P881" s="407"/>
      <c r="Q881" s="407"/>
      <c r="R881" s="407"/>
      <c r="S881" s="407">
        <v>15000</v>
      </c>
      <c r="T881" s="407"/>
      <c r="U881" s="407">
        <f>221000-236000</f>
        <v>-15000</v>
      </c>
      <c r="V881" s="407">
        <f>221000-164000</f>
        <v>57000</v>
      </c>
      <c r="W881" s="407">
        <v>-57000</v>
      </c>
      <c r="X881" s="407"/>
      <c r="Y881" s="407"/>
      <c r="Z881" s="407"/>
      <c r="AA881" s="407">
        <f t="shared" si="124"/>
        <v>0</v>
      </c>
      <c r="AC881" s="501"/>
      <c r="AD881" s="512">
        <v>57000</v>
      </c>
      <c r="AE881" s="512"/>
      <c r="AF881" s="512"/>
      <c r="AG881" s="507"/>
      <c r="AH881" s="507"/>
    </row>
    <row r="882" spans="1:34" s="362" customFormat="1" ht="15.75">
      <c r="A882" s="581" t="s">
        <v>2051</v>
      </c>
      <c r="B882" s="605" t="s">
        <v>38</v>
      </c>
      <c r="C882" s="135"/>
      <c r="D882" s="493" t="s">
        <v>1456</v>
      </c>
      <c r="E882" s="142"/>
      <c r="F882" s="143"/>
      <c r="G882" s="142"/>
      <c r="H882" s="419"/>
      <c r="I882" s="461">
        <f>I883</f>
        <v>513000</v>
      </c>
      <c r="J882" s="461"/>
      <c r="K882" s="461"/>
      <c r="L882" s="491"/>
      <c r="M882" s="491"/>
      <c r="N882" s="492">
        <f>N883</f>
        <v>0</v>
      </c>
      <c r="O882" s="492">
        <f>O883</f>
        <v>0</v>
      </c>
      <c r="P882" s="492">
        <f>P883</f>
        <v>0</v>
      </c>
      <c r="Q882" s="492">
        <f>Q883</f>
        <v>0</v>
      </c>
      <c r="R882" s="492">
        <f aca="true" t="shared" si="125" ref="R882:Z882">R883</f>
        <v>0</v>
      </c>
      <c r="S882" s="492">
        <f t="shared" si="125"/>
        <v>0</v>
      </c>
      <c r="T882" s="492">
        <f t="shared" si="125"/>
        <v>0</v>
      </c>
      <c r="U882" s="492">
        <f t="shared" si="125"/>
        <v>513000</v>
      </c>
      <c r="V882" s="492">
        <f t="shared" si="125"/>
        <v>0</v>
      </c>
      <c r="W882" s="492">
        <f t="shared" si="125"/>
        <v>0</v>
      </c>
      <c r="X882" s="492">
        <f t="shared" si="125"/>
        <v>0</v>
      </c>
      <c r="Y882" s="492">
        <f t="shared" si="125"/>
        <v>0</v>
      </c>
      <c r="Z882" s="492">
        <f t="shared" si="125"/>
        <v>0</v>
      </c>
      <c r="AA882" s="407">
        <f t="shared" si="124"/>
        <v>513000</v>
      </c>
      <c r="AC882" s="501"/>
      <c r="AD882" s="512"/>
      <c r="AE882" s="512"/>
      <c r="AF882" s="512"/>
      <c r="AG882" s="507"/>
      <c r="AH882" s="507"/>
    </row>
    <row r="883" spans="1:34" s="362" customFormat="1" ht="61.5" customHeight="1">
      <c r="A883" s="583"/>
      <c r="B883" s="606"/>
      <c r="C883" s="135"/>
      <c r="D883" s="262" t="s">
        <v>229</v>
      </c>
      <c r="E883" s="142"/>
      <c r="F883" s="143"/>
      <c r="G883" s="142"/>
      <c r="H883" s="417">
        <v>3131</v>
      </c>
      <c r="I883" s="144">
        <v>513000</v>
      </c>
      <c r="J883" s="144"/>
      <c r="K883" s="144"/>
      <c r="L883" s="76"/>
      <c r="M883" s="76"/>
      <c r="N883" s="407"/>
      <c r="O883" s="407"/>
      <c r="P883" s="407"/>
      <c r="Q883" s="407"/>
      <c r="R883" s="407"/>
      <c r="S883" s="407"/>
      <c r="T883" s="407"/>
      <c r="U883" s="407">
        <v>513000</v>
      </c>
      <c r="V883" s="407"/>
      <c r="W883" s="407"/>
      <c r="X883" s="407"/>
      <c r="Y883" s="407"/>
      <c r="Z883" s="407"/>
      <c r="AA883" s="407">
        <f t="shared" si="124"/>
        <v>513000</v>
      </c>
      <c r="AC883" s="501"/>
      <c r="AD883" s="512">
        <v>513000</v>
      </c>
      <c r="AE883" s="512"/>
      <c r="AF883" s="512"/>
      <c r="AG883" s="507"/>
      <c r="AH883" s="507"/>
    </row>
    <row r="884" spans="1:34" s="30" customFormat="1" ht="15.75">
      <c r="A884" s="605">
        <v>100203</v>
      </c>
      <c r="B884" s="605" t="s">
        <v>201</v>
      </c>
      <c r="C884" s="195"/>
      <c r="D884" s="136" t="s">
        <v>1456</v>
      </c>
      <c r="E884" s="137"/>
      <c r="F884" s="159"/>
      <c r="G884" s="137"/>
      <c r="H884" s="416"/>
      <c r="I884" s="139">
        <f>I893+I894+I895</f>
        <v>61571.6</v>
      </c>
      <c r="J884" s="139">
        <f>J893+J894+J895</f>
        <v>0</v>
      </c>
      <c r="K884" s="139">
        <f>K893+K894+K895</f>
        <v>0</v>
      </c>
      <c r="L884" s="139">
        <f>L893+L894+L895</f>
        <v>14071.6</v>
      </c>
      <c r="M884" s="139">
        <f>M893+M894+M895</f>
        <v>47500</v>
      </c>
      <c r="N884" s="139">
        <f aca="true" t="shared" si="126" ref="N884:Z884">N893+N894+N895</f>
        <v>0</v>
      </c>
      <c r="O884" s="139">
        <f t="shared" si="126"/>
        <v>14071.6</v>
      </c>
      <c r="P884" s="139">
        <f t="shared" si="126"/>
        <v>0</v>
      </c>
      <c r="Q884" s="139">
        <f t="shared" si="126"/>
        <v>0</v>
      </c>
      <c r="R884" s="139">
        <f t="shared" si="126"/>
        <v>47500</v>
      </c>
      <c r="S884" s="139">
        <f t="shared" si="126"/>
        <v>0</v>
      </c>
      <c r="T884" s="139">
        <f t="shared" si="126"/>
        <v>0</v>
      </c>
      <c r="U884" s="139">
        <f t="shared" si="126"/>
        <v>0</v>
      </c>
      <c r="V884" s="139">
        <f t="shared" si="126"/>
        <v>0</v>
      </c>
      <c r="W884" s="139">
        <f t="shared" si="126"/>
        <v>0</v>
      </c>
      <c r="X884" s="139">
        <f t="shared" si="126"/>
        <v>0</v>
      </c>
      <c r="Y884" s="139">
        <f t="shared" si="126"/>
        <v>0</v>
      </c>
      <c r="Z884" s="139">
        <f t="shared" si="126"/>
        <v>14491.6</v>
      </c>
      <c r="AA884" s="407">
        <f t="shared" si="124"/>
        <v>47080</v>
      </c>
      <c r="AC884" s="59"/>
      <c r="AD884" s="512"/>
      <c r="AE884" s="512"/>
      <c r="AF884" s="512"/>
      <c r="AG884" s="507"/>
      <c r="AH884" s="507"/>
    </row>
    <row r="885" spans="1:34" ht="78.75" customHeight="1" hidden="1">
      <c r="A885" s="607"/>
      <c r="B885" s="607"/>
      <c r="C885" s="135" t="s">
        <v>374</v>
      </c>
      <c r="D885" s="83" t="s">
        <v>792</v>
      </c>
      <c r="E885" s="142"/>
      <c r="F885" s="143"/>
      <c r="G885" s="142"/>
      <c r="H885" s="417"/>
      <c r="I885" s="144" t="e">
        <f>J885+K885+L885+M885+#REF!+#REF!</f>
        <v>#REF!</v>
      </c>
      <c r="J885" s="144"/>
      <c r="K885" s="144"/>
      <c r="L885" s="49"/>
      <c r="M885" s="144"/>
      <c r="N885" s="407"/>
      <c r="O885" s="407"/>
      <c r="P885" s="407"/>
      <c r="Q885" s="407"/>
      <c r="R885" s="407"/>
      <c r="S885" s="407"/>
      <c r="T885" s="407"/>
      <c r="U885" s="407"/>
      <c r="V885" s="407"/>
      <c r="W885" s="407"/>
      <c r="X885" s="407"/>
      <c r="Y885" s="407"/>
      <c r="Z885" s="407"/>
      <c r="AA885" s="407">
        <f t="shared" si="124"/>
        <v>0</v>
      </c>
      <c r="AC885" s="499"/>
      <c r="AD885" s="512"/>
      <c r="AE885" s="512"/>
      <c r="AF885" s="512"/>
      <c r="AG885" s="507"/>
      <c r="AH885" s="507"/>
    </row>
    <row r="886" spans="1:34" ht="31.5" hidden="1">
      <c r="A886" s="607"/>
      <c r="B886" s="607"/>
      <c r="C886" s="135" t="s">
        <v>375</v>
      </c>
      <c r="D886" s="83" t="s">
        <v>4</v>
      </c>
      <c r="E886" s="142"/>
      <c r="F886" s="143"/>
      <c r="G886" s="142"/>
      <c r="H886" s="417"/>
      <c r="I886" s="144" t="e">
        <f>J886+K886+L886+M886+#REF!+#REF!</f>
        <v>#REF!</v>
      </c>
      <c r="J886" s="144"/>
      <c r="K886" s="144"/>
      <c r="L886" s="49"/>
      <c r="M886" s="144"/>
      <c r="N886" s="407"/>
      <c r="O886" s="407"/>
      <c r="P886" s="407"/>
      <c r="Q886" s="407"/>
      <c r="R886" s="407"/>
      <c r="S886" s="407"/>
      <c r="T886" s="407"/>
      <c r="U886" s="407"/>
      <c r="V886" s="407"/>
      <c r="W886" s="407"/>
      <c r="X886" s="407"/>
      <c r="Y886" s="407"/>
      <c r="Z886" s="407"/>
      <c r="AA886" s="407">
        <f t="shared" si="124"/>
        <v>0</v>
      </c>
      <c r="AC886" s="499"/>
      <c r="AD886" s="512"/>
      <c r="AE886" s="512"/>
      <c r="AF886" s="512"/>
      <c r="AG886" s="507"/>
      <c r="AH886" s="507"/>
    </row>
    <row r="887" spans="1:34" ht="31.5" customHeight="1" hidden="1">
      <c r="A887" s="607"/>
      <c r="B887" s="607"/>
      <c r="C887" s="135" t="s">
        <v>5</v>
      </c>
      <c r="D887" s="83" t="s">
        <v>6</v>
      </c>
      <c r="E887" s="142"/>
      <c r="F887" s="143"/>
      <c r="G887" s="142"/>
      <c r="H887" s="417"/>
      <c r="I887" s="144" t="e">
        <f>J887+K887+L887+M887+#REF!+#REF!</f>
        <v>#REF!</v>
      </c>
      <c r="J887" s="144"/>
      <c r="K887" s="144"/>
      <c r="L887" s="49"/>
      <c r="M887" s="144"/>
      <c r="N887" s="407"/>
      <c r="O887" s="407"/>
      <c r="P887" s="407"/>
      <c r="Q887" s="407"/>
      <c r="R887" s="407"/>
      <c r="S887" s="407"/>
      <c r="T887" s="407"/>
      <c r="U887" s="407"/>
      <c r="V887" s="407"/>
      <c r="W887" s="407"/>
      <c r="X887" s="407"/>
      <c r="Y887" s="407"/>
      <c r="Z887" s="407"/>
      <c r="AA887" s="407">
        <f t="shared" si="124"/>
        <v>0</v>
      </c>
      <c r="AC887" s="499"/>
      <c r="AD887" s="512"/>
      <c r="AE887" s="512"/>
      <c r="AF887" s="512"/>
      <c r="AG887" s="507"/>
      <c r="AH887" s="507"/>
    </row>
    <row r="888" spans="1:34" ht="15.75" customHeight="1" hidden="1">
      <c r="A888" s="607"/>
      <c r="B888" s="607"/>
      <c r="C888" s="135" t="s">
        <v>7</v>
      </c>
      <c r="D888" s="141" t="s">
        <v>8</v>
      </c>
      <c r="E888" s="142"/>
      <c r="F888" s="143"/>
      <c r="G888" s="142"/>
      <c r="H888" s="417"/>
      <c r="I888" s="144" t="e">
        <f>J888+K888+L888+M888+#REF!+#REF!</f>
        <v>#REF!</v>
      </c>
      <c r="J888" s="144"/>
      <c r="K888" s="144"/>
      <c r="L888" s="144"/>
      <c r="M888" s="144"/>
      <c r="N888" s="407"/>
      <c r="O888" s="407"/>
      <c r="P888" s="407"/>
      <c r="Q888" s="407"/>
      <c r="R888" s="407"/>
      <c r="S888" s="407"/>
      <c r="T888" s="407"/>
      <c r="U888" s="407"/>
      <c r="V888" s="407"/>
      <c r="W888" s="407"/>
      <c r="X888" s="407"/>
      <c r="Y888" s="407"/>
      <c r="Z888" s="407"/>
      <c r="AA888" s="407">
        <f t="shared" si="124"/>
        <v>0</v>
      </c>
      <c r="AC888" s="499"/>
      <c r="AD888" s="512"/>
      <c r="AE888" s="512"/>
      <c r="AF888" s="512"/>
      <c r="AG888" s="507"/>
      <c r="AH888" s="507"/>
    </row>
    <row r="889" spans="1:34" ht="31.5" customHeight="1" hidden="1">
      <c r="A889" s="607"/>
      <c r="B889" s="607"/>
      <c r="C889" s="135" t="s">
        <v>9</v>
      </c>
      <c r="D889" s="14" t="s">
        <v>762</v>
      </c>
      <c r="E889" s="142"/>
      <c r="F889" s="143" t="e">
        <f>100%-((E889-G889)/E889)</f>
        <v>#DIV/0!</v>
      </c>
      <c r="G889" s="142"/>
      <c r="H889" s="417"/>
      <c r="I889" s="144" t="e">
        <f>J889+K889+L889+M889+#REF!+#REF!</f>
        <v>#REF!</v>
      </c>
      <c r="J889" s="144"/>
      <c r="K889" s="144"/>
      <c r="L889" s="85"/>
      <c r="M889" s="144"/>
      <c r="N889" s="407"/>
      <c r="O889" s="407"/>
      <c r="P889" s="407"/>
      <c r="Q889" s="407"/>
      <c r="R889" s="407"/>
      <c r="S889" s="407"/>
      <c r="T889" s="407"/>
      <c r="U889" s="407"/>
      <c r="V889" s="407"/>
      <c r="W889" s="407"/>
      <c r="X889" s="407"/>
      <c r="Y889" s="407"/>
      <c r="Z889" s="407"/>
      <c r="AA889" s="407">
        <f t="shared" si="124"/>
        <v>0</v>
      </c>
      <c r="AC889" s="499"/>
      <c r="AD889" s="512"/>
      <c r="AE889" s="512"/>
      <c r="AF889" s="512"/>
      <c r="AG889" s="507"/>
      <c r="AH889" s="507"/>
    </row>
    <row r="890" spans="1:34" ht="31.5" customHeight="1" hidden="1">
      <c r="A890" s="607"/>
      <c r="B890" s="607"/>
      <c r="C890" s="135" t="s">
        <v>763</v>
      </c>
      <c r="D890" s="14" t="s">
        <v>1958</v>
      </c>
      <c r="E890" s="142"/>
      <c r="F890" s="143" t="e">
        <f>100%-((E890-G890)/E890)</f>
        <v>#DIV/0!</v>
      </c>
      <c r="G890" s="142"/>
      <c r="H890" s="417"/>
      <c r="I890" s="144" t="e">
        <f>J890+K890+L890+M890+#REF!+#REF!</f>
        <v>#REF!</v>
      </c>
      <c r="J890" s="144"/>
      <c r="K890" s="144"/>
      <c r="L890" s="85"/>
      <c r="M890" s="144"/>
      <c r="N890" s="407"/>
      <c r="O890" s="407"/>
      <c r="P890" s="407"/>
      <c r="Q890" s="407"/>
      <c r="R890" s="407"/>
      <c r="S890" s="407"/>
      <c r="T890" s="407"/>
      <c r="U890" s="407"/>
      <c r="V890" s="407"/>
      <c r="W890" s="407"/>
      <c r="X890" s="407"/>
      <c r="Y890" s="407"/>
      <c r="Z890" s="407"/>
      <c r="AA890" s="407">
        <f t="shared" si="124"/>
        <v>0</v>
      </c>
      <c r="AC890" s="499"/>
      <c r="AD890" s="512"/>
      <c r="AE890" s="512"/>
      <c r="AF890" s="512"/>
      <c r="AG890" s="507"/>
      <c r="AH890" s="507"/>
    </row>
    <row r="891" spans="1:34" ht="31.5" hidden="1">
      <c r="A891" s="644"/>
      <c r="B891" s="644"/>
      <c r="C891" s="135" t="s">
        <v>1959</v>
      </c>
      <c r="D891" s="14" t="s">
        <v>1960</v>
      </c>
      <c r="E891" s="142">
        <v>685</v>
      </c>
      <c r="F891" s="143">
        <v>1</v>
      </c>
      <c r="G891" s="142">
        <v>685</v>
      </c>
      <c r="H891" s="417"/>
      <c r="I891" s="144" t="e">
        <f>J891+K891+L891+M891+#REF!+#REF!</f>
        <v>#REF!</v>
      </c>
      <c r="J891" s="144"/>
      <c r="K891" s="144"/>
      <c r="L891" s="85"/>
      <c r="M891" s="144"/>
      <c r="N891" s="407"/>
      <c r="O891" s="407"/>
      <c r="P891" s="407"/>
      <c r="Q891" s="407"/>
      <c r="R891" s="407"/>
      <c r="S891" s="407"/>
      <c r="T891" s="407"/>
      <c r="U891" s="407"/>
      <c r="V891" s="407"/>
      <c r="W891" s="407"/>
      <c r="X891" s="407"/>
      <c r="Y891" s="407"/>
      <c r="Z891" s="407"/>
      <c r="AA891" s="407">
        <f t="shared" si="124"/>
        <v>0</v>
      </c>
      <c r="AC891" s="499"/>
      <c r="AD891" s="512"/>
      <c r="AE891" s="512"/>
      <c r="AF891" s="512"/>
      <c r="AG891" s="507"/>
      <c r="AH891" s="507"/>
    </row>
    <row r="892" spans="1:34" ht="18.75" customHeight="1" hidden="1">
      <c r="A892" s="644"/>
      <c r="B892" s="644"/>
      <c r="C892" s="135"/>
      <c r="D892" s="14" t="s">
        <v>1961</v>
      </c>
      <c r="E892" s="142"/>
      <c r="F892" s="143"/>
      <c r="G892" s="142"/>
      <c r="H892" s="417"/>
      <c r="I892" s="144" t="e">
        <f>J892+K892+L892+M892+#REF!+#REF!</f>
        <v>#REF!</v>
      </c>
      <c r="J892" s="144"/>
      <c r="K892" s="144"/>
      <c r="L892" s="85"/>
      <c r="M892" s="144"/>
      <c r="N892" s="407"/>
      <c r="O892" s="407"/>
      <c r="P892" s="407"/>
      <c r="Q892" s="407"/>
      <c r="R892" s="407"/>
      <c r="S892" s="407"/>
      <c r="T892" s="407"/>
      <c r="U892" s="407"/>
      <c r="V892" s="407"/>
      <c r="W892" s="407"/>
      <c r="X892" s="407"/>
      <c r="Y892" s="407"/>
      <c r="Z892" s="407"/>
      <c r="AA892" s="407">
        <f t="shared" si="124"/>
        <v>0</v>
      </c>
      <c r="AC892" s="499"/>
      <c r="AD892" s="512"/>
      <c r="AE892" s="512"/>
      <c r="AF892" s="512"/>
      <c r="AG892" s="507"/>
      <c r="AH892" s="507"/>
    </row>
    <row r="893" spans="1:34" ht="47.25">
      <c r="A893" s="644"/>
      <c r="B893" s="644"/>
      <c r="C893" s="135"/>
      <c r="D893" s="14" t="s">
        <v>111</v>
      </c>
      <c r="E893" s="142">
        <v>990</v>
      </c>
      <c r="F893" s="143">
        <v>1</v>
      </c>
      <c r="G893" s="142">
        <v>900</v>
      </c>
      <c r="H893" s="417">
        <v>3132</v>
      </c>
      <c r="I893" s="144">
        <v>14071.6</v>
      </c>
      <c r="J893" s="144"/>
      <c r="K893" s="144"/>
      <c r="L893" s="85">
        <v>14071.6</v>
      </c>
      <c r="M893" s="144"/>
      <c r="N893" s="407"/>
      <c r="O893" s="144">
        <v>14071.6</v>
      </c>
      <c r="P893" s="407"/>
      <c r="Q893" s="407"/>
      <c r="R893" s="407"/>
      <c r="S893" s="407"/>
      <c r="T893" s="407"/>
      <c r="U893" s="407"/>
      <c r="V893" s="407"/>
      <c r="W893" s="407"/>
      <c r="X893" s="407"/>
      <c r="Y893" s="407"/>
      <c r="Z893" s="144">
        <v>14071.6</v>
      </c>
      <c r="AA893" s="407">
        <f t="shared" si="124"/>
        <v>0</v>
      </c>
      <c r="AC893" s="499"/>
      <c r="AD893" s="512">
        <v>14071.6</v>
      </c>
      <c r="AE893" s="512"/>
      <c r="AF893" s="512" t="s">
        <v>718</v>
      </c>
      <c r="AG893" s="507"/>
      <c r="AH893" s="507"/>
    </row>
    <row r="894" spans="1:34" s="362" customFormat="1" ht="51">
      <c r="A894" s="644"/>
      <c r="B894" s="644"/>
      <c r="C894" s="135"/>
      <c r="D894" s="14" t="s">
        <v>1184</v>
      </c>
      <c r="E894" s="142"/>
      <c r="F894" s="143"/>
      <c r="G894" s="142"/>
      <c r="H894" s="417">
        <v>3132</v>
      </c>
      <c r="I894" s="144">
        <v>11500</v>
      </c>
      <c r="J894" s="144"/>
      <c r="K894" s="144"/>
      <c r="L894" s="76"/>
      <c r="M894" s="76">
        <v>11500</v>
      </c>
      <c r="N894" s="407"/>
      <c r="O894" s="407"/>
      <c r="P894" s="407"/>
      <c r="Q894" s="407"/>
      <c r="R894" s="76">
        <v>11500</v>
      </c>
      <c r="S894" s="407"/>
      <c r="T894" s="407"/>
      <c r="U894" s="407"/>
      <c r="V894" s="407"/>
      <c r="W894" s="407"/>
      <c r="X894" s="407"/>
      <c r="Y894" s="407"/>
      <c r="Z894" s="407">
        <v>420</v>
      </c>
      <c r="AA894" s="407">
        <f t="shared" si="124"/>
        <v>11080</v>
      </c>
      <c r="AC894" s="501"/>
      <c r="AD894" s="512">
        <v>11500</v>
      </c>
      <c r="AE894" s="512">
        <v>989780</v>
      </c>
      <c r="AF894" s="507" t="s">
        <v>717</v>
      </c>
      <c r="AG894" s="507"/>
      <c r="AH894" s="507" t="s">
        <v>1629</v>
      </c>
    </row>
    <row r="895" spans="1:34" s="362" customFormat="1" ht="51">
      <c r="A895" s="644"/>
      <c r="B895" s="644"/>
      <c r="C895" s="135"/>
      <c r="D895" s="13" t="s">
        <v>1185</v>
      </c>
      <c r="E895" s="142"/>
      <c r="F895" s="143"/>
      <c r="G895" s="142"/>
      <c r="H895" s="417">
        <v>3132</v>
      </c>
      <c r="I895" s="144">
        <v>36000</v>
      </c>
      <c r="J895" s="144"/>
      <c r="K895" s="144"/>
      <c r="L895" s="76"/>
      <c r="M895" s="76">
        <v>36000</v>
      </c>
      <c r="N895" s="407"/>
      <c r="O895" s="407"/>
      <c r="P895" s="407"/>
      <c r="Q895" s="407"/>
      <c r="R895" s="76">
        <v>36000</v>
      </c>
      <c r="S895" s="407"/>
      <c r="T895" s="407"/>
      <c r="U895" s="407"/>
      <c r="V895" s="407"/>
      <c r="W895" s="407"/>
      <c r="X895" s="407"/>
      <c r="Y895" s="407"/>
      <c r="Z895" s="407"/>
      <c r="AA895" s="407">
        <f t="shared" si="124"/>
        <v>36000</v>
      </c>
      <c r="AC895" s="501"/>
      <c r="AD895" s="512">
        <v>36000</v>
      </c>
      <c r="AE895" s="512">
        <v>719854</v>
      </c>
      <c r="AF895" s="507" t="s">
        <v>717</v>
      </c>
      <c r="AG895" s="507"/>
      <c r="AH895" s="507" t="s">
        <v>1629</v>
      </c>
    </row>
    <row r="896" spans="1:34" s="30" customFormat="1" ht="15.75" hidden="1">
      <c r="A896" s="605">
        <v>110204</v>
      </c>
      <c r="B896" s="605" t="s">
        <v>984</v>
      </c>
      <c r="C896" s="195"/>
      <c r="D896" s="71" t="s">
        <v>1456</v>
      </c>
      <c r="E896" s="137"/>
      <c r="F896" s="159"/>
      <c r="G896" s="137"/>
      <c r="H896" s="416"/>
      <c r="I896" s="139" t="e">
        <f>J896+K896+L896+M896+#REF!+#REF!</f>
        <v>#REF!</v>
      </c>
      <c r="J896" s="139">
        <f>J897</f>
        <v>0</v>
      </c>
      <c r="K896" s="139">
        <f>K897</f>
        <v>0</v>
      </c>
      <c r="L896" s="139">
        <f>L897</f>
        <v>0</v>
      </c>
      <c r="M896" s="139">
        <f>M897</f>
        <v>0</v>
      </c>
      <c r="N896" s="439"/>
      <c r="O896" s="439"/>
      <c r="P896" s="439"/>
      <c r="Q896" s="439"/>
      <c r="R896" s="439"/>
      <c r="S896" s="439"/>
      <c r="T896" s="439"/>
      <c r="U896" s="439"/>
      <c r="V896" s="439"/>
      <c r="W896" s="439"/>
      <c r="X896" s="439"/>
      <c r="Y896" s="439"/>
      <c r="Z896" s="439"/>
      <c r="AA896" s="407">
        <f t="shared" si="124"/>
        <v>0</v>
      </c>
      <c r="AC896" s="59"/>
      <c r="AD896" s="512"/>
      <c r="AE896" s="512"/>
      <c r="AF896" s="507"/>
      <c r="AG896" s="507"/>
      <c r="AH896" s="507"/>
    </row>
    <row r="897" spans="1:34" ht="31.5" hidden="1">
      <c r="A897" s="606"/>
      <c r="B897" s="606"/>
      <c r="C897" s="135" t="s">
        <v>1218</v>
      </c>
      <c r="D897" s="14" t="s">
        <v>1400</v>
      </c>
      <c r="E897" s="142">
        <v>200</v>
      </c>
      <c r="F897" s="143">
        <f>100%-((E897-G897)/E897)</f>
        <v>1</v>
      </c>
      <c r="G897" s="142">
        <v>200</v>
      </c>
      <c r="H897" s="417"/>
      <c r="I897" s="144" t="e">
        <f>J897+K897+L897+M897+#REF!+#REF!</f>
        <v>#REF!</v>
      </c>
      <c r="J897" s="144"/>
      <c r="K897" s="144"/>
      <c r="L897" s="85"/>
      <c r="M897" s="144"/>
      <c r="N897" s="407"/>
      <c r="O897" s="407"/>
      <c r="P897" s="407"/>
      <c r="Q897" s="407"/>
      <c r="R897" s="407"/>
      <c r="S897" s="407"/>
      <c r="T897" s="407"/>
      <c r="U897" s="407"/>
      <c r="V897" s="407"/>
      <c r="W897" s="407"/>
      <c r="X897" s="407"/>
      <c r="Y897" s="407"/>
      <c r="Z897" s="407"/>
      <c r="AA897" s="407">
        <f t="shared" si="124"/>
        <v>0</v>
      </c>
      <c r="AC897" s="499"/>
      <c r="AD897" s="512"/>
      <c r="AE897" s="512"/>
      <c r="AF897" s="507"/>
      <c r="AG897" s="507"/>
      <c r="AH897" s="507"/>
    </row>
    <row r="898" spans="1:34" ht="15.75" hidden="1">
      <c r="A898" s="605">
        <v>110205</v>
      </c>
      <c r="B898" s="605" t="s">
        <v>985</v>
      </c>
      <c r="C898" s="195"/>
      <c r="D898" s="71" t="s">
        <v>781</v>
      </c>
      <c r="E898" s="158"/>
      <c r="F898" s="159"/>
      <c r="G898" s="158"/>
      <c r="H898" s="419"/>
      <c r="I898" s="139" t="e">
        <f>J898+K898+L898+M898+#REF!+#REF!</f>
        <v>#REF!</v>
      </c>
      <c r="J898" s="461"/>
      <c r="K898" s="461"/>
      <c r="L898" s="139">
        <f>L899</f>
        <v>0</v>
      </c>
      <c r="M898" s="461"/>
      <c r="N898" s="407"/>
      <c r="O898" s="407"/>
      <c r="P898" s="407"/>
      <c r="Q898" s="407"/>
      <c r="R898" s="407"/>
      <c r="S898" s="407"/>
      <c r="T898" s="407"/>
      <c r="U898" s="407"/>
      <c r="V898" s="407"/>
      <c r="W898" s="407"/>
      <c r="X898" s="407"/>
      <c r="Y898" s="407"/>
      <c r="Z898" s="407"/>
      <c r="AA898" s="407">
        <f t="shared" si="124"/>
        <v>0</v>
      </c>
      <c r="AC898" s="499"/>
      <c r="AD898" s="512"/>
      <c r="AE898" s="512"/>
      <c r="AF898" s="507"/>
      <c r="AG898" s="507"/>
      <c r="AH898" s="507"/>
    </row>
    <row r="899" spans="1:34" ht="31.5" hidden="1">
      <c r="A899" s="606"/>
      <c r="B899" s="606"/>
      <c r="C899" s="135"/>
      <c r="D899" s="14" t="s">
        <v>1401</v>
      </c>
      <c r="E899" s="142">
        <v>90</v>
      </c>
      <c r="F899" s="143">
        <f>100%-((E899-G899)/E899)</f>
        <v>1</v>
      </c>
      <c r="G899" s="142">
        <v>90</v>
      </c>
      <c r="H899" s="417"/>
      <c r="I899" s="144" t="e">
        <f>J899+K899+L899+M899+#REF!+#REF!</f>
        <v>#REF!</v>
      </c>
      <c r="J899" s="144"/>
      <c r="K899" s="144"/>
      <c r="L899" s="85"/>
      <c r="M899" s="144"/>
      <c r="N899" s="407"/>
      <c r="O899" s="407"/>
      <c r="P899" s="407"/>
      <c r="Q899" s="407"/>
      <c r="R899" s="407"/>
      <c r="S899" s="407"/>
      <c r="T899" s="407"/>
      <c r="U899" s="407"/>
      <c r="V899" s="407"/>
      <c r="W899" s="407"/>
      <c r="X899" s="407"/>
      <c r="Y899" s="407"/>
      <c r="Z899" s="407"/>
      <c r="AA899" s="407">
        <f t="shared" si="124"/>
        <v>0</v>
      </c>
      <c r="AC899" s="499"/>
      <c r="AD899" s="512"/>
      <c r="AE899" s="512"/>
      <c r="AF899" s="507"/>
      <c r="AG899" s="507"/>
      <c r="AH899" s="507"/>
    </row>
    <row r="900" spans="1:34" ht="15.75" customHeight="1">
      <c r="A900" s="605">
        <v>130110</v>
      </c>
      <c r="B900" s="605" t="s">
        <v>1446</v>
      </c>
      <c r="C900" s="195"/>
      <c r="D900" s="71" t="s">
        <v>1456</v>
      </c>
      <c r="E900" s="158"/>
      <c r="F900" s="159"/>
      <c r="G900" s="158"/>
      <c r="H900" s="419"/>
      <c r="I900" s="139">
        <f aca="true" t="shared" si="127" ref="I900:Z900">SUM(I901:I903)</f>
        <v>122966.14</v>
      </c>
      <c r="J900" s="139">
        <f t="shared" si="127"/>
        <v>0</v>
      </c>
      <c r="K900" s="139">
        <f t="shared" si="127"/>
        <v>0</v>
      </c>
      <c r="L900" s="139">
        <f t="shared" si="127"/>
        <v>20966.14</v>
      </c>
      <c r="M900" s="139">
        <f t="shared" si="127"/>
        <v>102000</v>
      </c>
      <c r="N900" s="139">
        <f t="shared" si="127"/>
        <v>0</v>
      </c>
      <c r="O900" s="139">
        <f t="shared" si="127"/>
        <v>20966.14</v>
      </c>
      <c r="P900" s="139">
        <f t="shared" si="127"/>
        <v>0</v>
      </c>
      <c r="Q900" s="139">
        <f t="shared" si="127"/>
        <v>0</v>
      </c>
      <c r="R900" s="139">
        <f t="shared" si="127"/>
        <v>0</v>
      </c>
      <c r="S900" s="139">
        <f t="shared" si="127"/>
        <v>102000</v>
      </c>
      <c r="T900" s="139">
        <f t="shared" si="127"/>
        <v>0</v>
      </c>
      <c r="U900" s="139">
        <f t="shared" si="127"/>
        <v>0</v>
      </c>
      <c r="V900" s="139">
        <f t="shared" si="127"/>
        <v>0</v>
      </c>
      <c r="W900" s="139">
        <f t="shared" si="127"/>
        <v>0</v>
      </c>
      <c r="X900" s="139">
        <f t="shared" si="127"/>
        <v>0</v>
      </c>
      <c r="Y900" s="139">
        <f t="shared" si="127"/>
        <v>0</v>
      </c>
      <c r="Z900" s="139">
        <f t="shared" si="127"/>
        <v>22166.14</v>
      </c>
      <c r="AA900" s="407">
        <f t="shared" si="124"/>
        <v>100800</v>
      </c>
      <c r="AC900" s="499"/>
      <c r="AD900" s="512"/>
      <c r="AE900" s="512"/>
      <c r="AF900" s="507"/>
      <c r="AG900" s="507"/>
      <c r="AH900" s="507"/>
    </row>
    <row r="901" spans="1:34" ht="47.25">
      <c r="A901" s="607"/>
      <c r="B901" s="607"/>
      <c r="C901" s="135"/>
      <c r="D901" s="14" t="s">
        <v>284</v>
      </c>
      <c r="E901" s="142">
        <v>500</v>
      </c>
      <c r="F901" s="143">
        <f>100%-((E901-G901)/E901)</f>
        <v>1</v>
      </c>
      <c r="G901" s="142">
        <v>500</v>
      </c>
      <c r="H901" s="417">
        <v>3132</v>
      </c>
      <c r="I901" s="144">
        <v>6957.49</v>
      </c>
      <c r="J901" s="144"/>
      <c r="K901" s="144"/>
      <c r="L901" s="85">
        <v>6957.49</v>
      </c>
      <c r="M901" s="144"/>
      <c r="N901" s="407"/>
      <c r="O901" s="144">
        <v>6957.49</v>
      </c>
      <c r="P901" s="407"/>
      <c r="Q901" s="407"/>
      <c r="R901" s="407"/>
      <c r="S901" s="407"/>
      <c r="T901" s="407"/>
      <c r="U901" s="407"/>
      <c r="V901" s="407"/>
      <c r="W901" s="407"/>
      <c r="X901" s="407"/>
      <c r="Y901" s="407"/>
      <c r="Z901" s="144">
        <v>6957.49</v>
      </c>
      <c r="AA901" s="407">
        <f t="shared" si="124"/>
        <v>0</v>
      </c>
      <c r="AC901" s="499"/>
      <c r="AD901" s="512">
        <v>6957.49</v>
      </c>
      <c r="AE901" s="512"/>
      <c r="AF901" s="507" t="s">
        <v>719</v>
      </c>
      <c r="AG901" s="507"/>
      <c r="AH901" s="507"/>
    </row>
    <row r="902" spans="1:34" ht="47.25">
      <c r="A902" s="607"/>
      <c r="B902" s="607"/>
      <c r="C902" s="135"/>
      <c r="D902" s="14" t="s">
        <v>307</v>
      </c>
      <c r="E902" s="142">
        <v>950</v>
      </c>
      <c r="F902" s="143">
        <f>100%-((E902-G902)/E902)</f>
        <v>1</v>
      </c>
      <c r="G902" s="142">
        <v>950</v>
      </c>
      <c r="H902" s="417">
        <v>3132</v>
      </c>
      <c r="I902" s="144">
        <v>14008.65</v>
      </c>
      <c r="J902" s="144"/>
      <c r="K902" s="144"/>
      <c r="L902" s="85">
        <v>14008.65</v>
      </c>
      <c r="M902" s="144"/>
      <c r="N902" s="407"/>
      <c r="O902" s="144">
        <v>14008.65</v>
      </c>
      <c r="P902" s="407"/>
      <c r="Q902" s="407"/>
      <c r="R902" s="407"/>
      <c r="S902" s="407"/>
      <c r="T902" s="407"/>
      <c r="U902" s="407"/>
      <c r="V902" s="407"/>
      <c r="W902" s="407"/>
      <c r="X902" s="407"/>
      <c r="Y902" s="407"/>
      <c r="Z902" s="144">
        <v>14008.65</v>
      </c>
      <c r="AA902" s="407">
        <f t="shared" si="124"/>
        <v>0</v>
      </c>
      <c r="AC902" s="499"/>
      <c r="AD902" s="512">
        <v>14008.65</v>
      </c>
      <c r="AE902" s="512"/>
      <c r="AF902" s="507" t="s">
        <v>720</v>
      </c>
      <c r="AG902" s="507"/>
      <c r="AH902" s="507"/>
    </row>
    <row r="903" spans="1:34" s="45" customFormat="1" ht="51">
      <c r="A903" s="606"/>
      <c r="B903" s="606"/>
      <c r="C903" s="135"/>
      <c r="D903" s="14" t="s">
        <v>153</v>
      </c>
      <c r="E903" s="142"/>
      <c r="F903" s="143"/>
      <c r="G903" s="142"/>
      <c r="H903" s="417">
        <v>3132</v>
      </c>
      <c r="I903" s="144">
        <v>102000</v>
      </c>
      <c r="J903" s="144"/>
      <c r="K903" s="144"/>
      <c r="L903" s="85"/>
      <c r="M903" s="144">
        <v>102000</v>
      </c>
      <c r="N903" s="407"/>
      <c r="O903" s="407"/>
      <c r="P903" s="407"/>
      <c r="Q903" s="407"/>
      <c r="R903" s="407"/>
      <c r="S903" s="407">
        <v>102000</v>
      </c>
      <c r="T903" s="407"/>
      <c r="U903" s="407"/>
      <c r="V903" s="407"/>
      <c r="W903" s="407"/>
      <c r="X903" s="407"/>
      <c r="Y903" s="407"/>
      <c r="Z903" s="407">
        <v>1200</v>
      </c>
      <c r="AA903" s="407">
        <f t="shared" si="124"/>
        <v>100800</v>
      </c>
      <c r="AC903" s="499"/>
      <c r="AD903" s="512">
        <v>102000</v>
      </c>
      <c r="AE903" s="512">
        <v>489122</v>
      </c>
      <c r="AF903" s="512"/>
      <c r="AG903" s="507" t="s">
        <v>717</v>
      </c>
      <c r="AH903" s="507" t="s">
        <v>1629</v>
      </c>
    </row>
    <row r="904" spans="1:62" s="28" customFormat="1" ht="15.75">
      <c r="A904" s="603">
        <v>150101</v>
      </c>
      <c r="B904" s="603" t="s">
        <v>1448</v>
      </c>
      <c r="C904" s="195"/>
      <c r="D904" s="216" t="s">
        <v>1456</v>
      </c>
      <c r="E904" s="303"/>
      <c r="F904" s="159"/>
      <c r="G904" s="303"/>
      <c r="H904" s="429"/>
      <c r="I904" s="304">
        <f>SUM(I906:I1039)</f>
        <v>36653060.79</v>
      </c>
      <c r="J904" s="304">
        <f>SUM(J906:J1039)</f>
        <v>0</v>
      </c>
      <c r="K904" s="304">
        <f>SUM(K906:K1039)</f>
        <v>0</v>
      </c>
      <c r="L904" s="304">
        <f>SUM(L906:L1039)</f>
        <v>247956.65</v>
      </c>
      <c r="M904" s="304">
        <f>SUM(M906:M1039)</f>
        <v>37830386.31</v>
      </c>
      <c r="N904" s="304">
        <f aca="true" t="shared" si="128" ref="N904:Z904">SUM(N906:N1039)</f>
        <v>0</v>
      </c>
      <c r="O904" s="304">
        <f t="shared" si="128"/>
        <v>247956.65</v>
      </c>
      <c r="P904" s="304">
        <f t="shared" si="128"/>
        <v>0</v>
      </c>
      <c r="Q904" s="304">
        <f t="shared" si="128"/>
        <v>248642.64</v>
      </c>
      <c r="R904" s="304">
        <f t="shared" si="128"/>
        <v>9833623.6</v>
      </c>
      <c r="S904" s="304">
        <f t="shared" si="128"/>
        <v>5412000</v>
      </c>
      <c r="T904" s="304">
        <f t="shared" si="128"/>
        <v>6980508.99</v>
      </c>
      <c r="U904" s="304">
        <f t="shared" si="128"/>
        <v>7815252.08</v>
      </c>
      <c r="V904" s="304">
        <f t="shared" si="128"/>
        <v>2411659</v>
      </c>
      <c r="W904" s="304">
        <f t="shared" si="128"/>
        <v>72210</v>
      </c>
      <c r="X904" s="304">
        <f t="shared" si="128"/>
        <v>2058707.83</v>
      </c>
      <c r="Y904" s="304">
        <f t="shared" si="128"/>
        <v>1572500</v>
      </c>
      <c r="Z904" s="304">
        <f t="shared" si="128"/>
        <v>12709853.02</v>
      </c>
      <c r="AA904" s="407">
        <f t="shared" si="124"/>
        <v>22370707.77</v>
      </c>
      <c r="AB904" s="30"/>
      <c r="AC904" s="59"/>
      <c r="AD904" s="512"/>
      <c r="AE904" s="512"/>
      <c r="AF904" s="512"/>
      <c r="AG904" s="507"/>
      <c r="AH904" s="507"/>
      <c r="AI904" s="30"/>
      <c r="AJ904" s="30"/>
      <c r="AK904" s="30"/>
      <c r="AL904" s="30"/>
      <c r="AM904" s="30"/>
      <c r="AN904" s="30"/>
      <c r="AO904" s="30"/>
      <c r="AP904" s="30"/>
      <c r="AQ904" s="30"/>
      <c r="AR904" s="30"/>
      <c r="AS904" s="30"/>
      <c r="AT904" s="30"/>
      <c r="AU904" s="30"/>
      <c r="AV904" s="30"/>
      <c r="AW904" s="30"/>
      <c r="AX904" s="30"/>
      <c r="AY904" s="30"/>
      <c r="AZ904" s="30"/>
      <c r="BA904" s="30"/>
      <c r="BB904" s="30"/>
      <c r="BC904" s="30"/>
      <c r="BD904" s="30"/>
      <c r="BE904" s="30"/>
      <c r="BF904" s="30"/>
      <c r="BG904" s="30"/>
      <c r="BH904" s="30"/>
      <c r="BI904" s="30"/>
      <c r="BJ904" s="30"/>
    </row>
    <row r="905" spans="1:34" ht="31.5" customHeight="1" hidden="1">
      <c r="A905" s="608"/>
      <c r="B905" s="608"/>
      <c r="C905" s="306" t="s">
        <v>308</v>
      </c>
      <c r="D905" s="141" t="s">
        <v>27</v>
      </c>
      <c r="E905" s="292">
        <v>180</v>
      </c>
      <c r="F905" s="143">
        <f aca="true" t="shared" si="129" ref="F905:F911">100%-((E905-G905)/E905)</f>
        <v>1</v>
      </c>
      <c r="G905" s="292">
        <v>180</v>
      </c>
      <c r="H905" s="427"/>
      <c r="I905" s="307" t="e">
        <f>J905+K905+L905+M905+#REF!+#REF!</f>
        <v>#REF!</v>
      </c>
      <c r="J905" s="307"/>
      <c r="K905" s="307"/>
      <c r="L905" s="307">
        <f>180-180</f>
        <v>0</v>
      </c>
      <c r="M905" s="307"/>
      <c r="N905" s="407"/>
      <c r="O905" s="407"/>
      <c r="P905" s="407"/>
      <c r="Q905" s="407"/>
      <c r="R905" s="407"/>
      <c r="S905" s="407"/>
      <c r="T905" s="407"/>
      <c r="U905" s="407"/>
      <c r="V905" s="407"/>
      <c r="W905" s="407"/>
      <c r="X905" s="407"/>
      <c r="Y905" s="407"/>
      <c r="Z905" s="407"/>
      <c r="AA905" s="407">
        <f t="shared" si="124"/>
        <v>0</v>
      </c>
      <c r="AC905" s="499"/>
      <c r="AD905" s="512"/>
      <c r="AE905" s="512"/>
      <c r="AF905" s="512"/>
      <c r="AG905" s="507"/>
      <c r="AH905" s="507"/>
    </row>
    <row r="906" spans="1:34" ht="63">
      <c r="A906" s="608"/>
      <c r="B906" s="608"/>
      <c r="C906" s="306" t="s">
        <v>28</v>
      </c>
      <c r="D906" s="141" t="s">
        <v>1802</v>
      </c>
      <c r="E906" s="292">
        <v>2300</v>
      </c>
      <c r="F906" s="143">
        <f t="shared" si="129"/>
        <v>1</v>
      </c>
      <c r="G906" s="292">
        <v>2300</v>
      </c>
      <c r="H906" s="427">
        <v>3142</v>
      </c>
      <c r="I906" s="307">
        <v>114452.1</v>
      </c>
      <c r="J906" s="307"/>
      <c r="K906" s="307"/>
      <c r="L906" s="307">
        <v>114452.1</v>
      </c>
      <c r="M906" s="307"/>
      <c r="N906" s="407"/>
      <c r="O906" s="307">
        <v>114452.1</v>
      </c>
      <c r="P906" s="407"/>
      <c r="Q906" s="407"/>
      <c r="R906" s="407"/>
      <c r="S906" s="407"/>
      <c r="T906" s="407"/>
      <c r="U906" s="407"/>
      <c r="V906" s="407"/>
      <c r="W906" s="407"/>
      <c r="X906" s="407"/>
      <c r="Y906" s="407"/>
      <c r="Z906" s="307">
        <v>114452.1</v>
      </c>
      <c r="AA906" s="407">
        <f t="shared" si="124"/>
        <v>0</v>
      </c>
      <c r="AB906" s="539"/>
      <c r="AC906" s="499"/>
      <c r="AD906" s="512">
        <v>114452.1</v>
      </c>
      <c r="AE906" s="512"/>
      <c r="AF906" s="512" t="s">
        <v>721</v>
      </c>
      <c r="AG906" s="507"/>
      <c r="AH906" s="507"/>
    </row>
    <row r="907" spans="1:34" s="40" customFormat="1" ht="31.5" customHeight="1" hidden="1">
      <c r="A907" s="608"/>
      <c r="B907" s="608"/>
      <c r="C907" s="310"/>
      <c r="D907" s="14" t="s">
        <v>1401</v>
      </c>
      <c r="E907" s="292">
        <v>90</v>
      </c>
      <c r="F907" s="143">
        <f t="shared" si="129"/>
        <v>1</v>
      </c>
      <c r="G907" s="292">
        <v>90</v>
      </c>
      <c r="H907" s="427">
        <v>3142</v>
      </c>
      <c r="I907" s="307">
        <v>0</v>
      </c>
      <c r="J907" s="307"/>
      <c r="K907" s="307"/>
      <c r="L907" s="307"/>
      <c r="M907" s="307"/>
      <c r="N907" s="407"/>
      <c r="O907" s="307">
        <v>0</v>
      </c>
      <c r="P907" s="407"/>
      <c r="Q907" s="407"/>
      <c r="R907" s="407"/>
      <c r="S907" s="407"/>
      <c r="T907" s="407"/>
      <c r="U907" s="407"/>
      <c r="V907" s="407"/>
      <c r="W907" s="407"/>
      <c r="X907" s="407"/>
      <c r="Y907" s="407"/>
      <c r="Z907" s="307">
        <v>0</v>
      </c>
      <c r="AA907" s="407">
        <f t="shared" si="124"/>
        <v>0</v>
      </c>
      <c r="AC907" s="498"/>
      <c r="AD907" s="512"/>
      <c r="AE907" s="512"/>
      <c r="AF907" s="512"/>
      <c r="AG907" s="507"/>
      <c r="AH907" s="507"/>
    </row>
    <row r="908" spans="1:34" s="40" customFormat="1" ht="47.25" hidden="1">
      <c r="A908" s="608"/>
      <c r="B908" s="608"/>
      <c r="C908" s="310"/>
      <c r="D908" s="14" t="s">
        <v>1247</v>
      </c>
      <c r="E908" s="292">
        <v>90</v>
      </c>
      <c r="F908" s="143">
        <f t="shared" si="129"/>
        <v>1</v>
      </c>
      <c r="G908" s="292">
        <v>90</v>
      </c>
      <c r="H908" s="427">
        <v>3142</v>
      </c>
      <c r="I908" s="307">
        <v>0</v>
      </c>
      <c r="J908" s="307"/>
      <c r="K908" s="307"/>
      <c r="L908" s="307"/>
      <c r="M908" s="307"/>
      <c r="N908" s="407"/>
      <c r="O908" s="307">
        <v>0</v>
      </c>
      <c r="P908" s="407"/>
      <c r="Q908" s="407"/>
      <c r="R908" s="407"/>
      <c r="S908" s="407"/>
      <c r="T908" s="407"/>
      <c r="U908" s="407"/>
      <c r="V908" s="407"/>
      <c r="W908" s="407"/>
      <c r="X908" s="407"/>
      <c r="Y908" s="407"/>
      <c r="Z908" s="307">
        <v>0</v>
      </c>
      <c r="AA908" s="407">
        <f t="shared" si="124"/>
        <v>0</v>
      </c>
      <c r="AC908" s="498"/>
      <c r="AD908" s="512"/>
      <c r="AE908" s="512"/>
      <c r="AF908" s="512"/>
      <c r="AG908" s="507"/>
      <c r="AH908" s="507"/>
    </row>
    <row r="909" spans="1:34" s="40" customFormat="1" ht="31.5" hidden="1">
      <c r="A909" s="608"/>
      <c r="B909" s="608"/>
      <c r="C909" s="310"/>
      <c r="D909" s="14" t="s">
        <v>1248</v>
      </c>
      <c r="E909" s="292">
        <v>110</v>
      </c>
      <c r="F909" s="143">
        <f t="shared" si="129"/>
        <v>1</v>
      </c>
      <c r="G909" s="292">
        <v>110</v>
      </c>
      <c r="H909" s="427">
        <v>3142</v>
      </c>
      <c r="I909" s="307">
        <v>0</v>
      </c>
      <c r="J909" s="307"/>
      <c r="K909" s="307"/>
      <c r="L909" s="307"/>
      <c r="M909" s="307"/>
      <c r="N909" s="407"/>
      <c r="O909" s="307">
        <v>0</v>
      </c>
      <c r="P909" s="407"/>
      <c r="Q909" s="407"/>
      <c r="R909" s="407"/>
      <c r="S909" s="407"/>
      <c r="T909" s="407"/>
      <c r="U909" s="407"/>
      <c r="V909" s="407"/>
      <c r="W909" s="407"/>
      <c r="X909" s="407"/>
      <c r="Y909" s="407"/>
      <c r="Z909" s="307">
        <v>0</v>
      </c>
      <c r="AA909" s="407">
        <f t="shared" si="124"/>
        <v>0</v>
      </c>
      <c r="AC909" s="498"/>
      <c r="AD909" s="512"/>
      <c r="AE909" s="512"/>
      <c r="AF909" s="512"/>
      <c r="AG909" s="507"/>
      <c r="AH909" s="507"/>
    </row>
    <row r="910" spans="1:34" ht="31.5" hidden="1">
      <c r="A910" s="608"/>
      <c r="B910" s="608"/>
      <c r="C910" s="306" t="s">
        <v>471</v>
      </c>
      <c r="D910" s="141" t="s">
        <v>472</v>
      </c>
      <c r="E910" s="292">
        <v>20</v>
      </c>
      <c r="F910" s="143">
        <f t="shared" si="129"/>
        <v>1</v>
      </c>
      <c r="G910" s="292">
        <v>20</v>
      </c>
      <c r="H910" s="427">
        <v>3142</v>
      </c>
      <c r="I910" s="307">
        <v>0</v>
      </c>
      <c r="J910" s="307"/>
      <c r="K910" s="307"/>
      <c r="L910" s="307"/>
      <c r="M910" s="307"/>
      <c r="N910" s="407"/>
      <c r="O910" s="307">
        <v>0</v>
      </c>
      <c r="P910" s="407"/>
      <c r="Q910" s="407"/>
      <c r="R910" s="407"/>
      <c r="S910" s="407"/>
      <c r="T910" s="407"/>
      <c r="U910" s="407"/>
      <c r="V910" s="407"/>
      <c r="W910" s="407"/>
      <c r="X910" s="407"/>
      <c r="Y910" s="407"/>
      <c r="Z910" s="307">
        <v>0</v>
      </c>
      <c r="AA910" s="407">
        <f t="shared" si="124"/>
        <v>0</v>
      </c>
      <c r="AC910" s="499"/>
      <c r="AD910" s="512"/>
      <c r="AE910" s="512"/>
      <c r="AF910" s="512"/>
      <c r="AG910" s="507"/>
      <c r="AH910" s="507"/>
    </row>
    <row r="911" spans="1:34" ht="31.5" hidden="1">
      <c r="A911" s="608"/>
      <c r="B911" s="608"/>
      <c r="C911" s="306" t="s">
        <v>473</v>
      </c>
      <c r="D911" s="141" t="s">
        <v>474</v>
      </c>
      <c r="E911" s="292">
        <v>300</v>
      </c>
      <c r="F911" s="143">
        <f t="shared" si="129"/>
        <v>1</v>
      </c>
      <c r="G911" s="292">
        <v>300</v>
      </c>
      <c r="H911" s="427">
        <v>3142</v>
      </c>
      <c r="I911" s="307">
        <v>0</v>
      </c>
      <c r="J911" s="307"/>
      <c r="K911" s="307"/>
      <c r="L911" s="307"/>
      <c r="M911" s="307"/>
      <c r="N911" s="407"/>
      <c r="O911" s="307">
        <v>0</v>
      </c>
      <c r="P911" s="407"/>
      <c r="Q911" s="407"/>
      <c r="R911" s="407"/>
      <c r="S911" s="407"/>
      <c r="T911" s="407"/>
      <c r="U911" s="407"/>
      <c r="V911" s="407"/>
      <c r="W911" s="407"/>
      <c r="X911" s="407"/>
      <c r="Y911" s="407"/>
      <c r="Z911" s="307">
        <v>0</v>
      </c>
      <c r="AA911" s="407">
        <f t="shared" si="124"/>
        <v>0</v>
      </c>
      <c r="AC911" s="499"/>
      <c r="AD911" s="512"/>
      <c r="AE911" s="512"/>
      <c r="AF911" s="512"/>
      <c r="AG911" s="507"/>
      <c r="AH911" s="507"/>
    </row>
    <row r="912" spans="1:34" ht="47.25" hidden="1">
      <c r="A912" s="608"/>
      <c r="B912" s="608"/>
      <c r="C912" s="306"/>
      <c r="D912" s="141" t="s">
        <v>1381</v>
      </c>
      <c r="E912" s="292"/>
      <c r="F912" s="143"/>
      <c r="G912" s="292"/>
      <c r="H912" s="427">
        <v>3142</v>
      </c>
      <c r="I912" s="307">
        <v>0</v>
      </c>
      <c r="J912" s="307"/>
      <c r="K912" s="307"/>
      <c r="L912" s="307"/>
      <c r="M912" s="307"/>
      <c r="N912" s="407"/>
      <c r="O912" s="307">
        <v>0</v>
      </c>
      <c r="P912" s="407"/>
      <c r="Q912" s="407"/>
      <c r="R912" s="407"/>
      <c r="S912" s="407"/>
      <c r="T912" s="407"/>
      <c r="U912" s="407"/>
      <c r="V912" s="407"/>
      <c r="W912" s="407"/>
      <c r="X912" s="407"/>
      <c r="Y912" s="407"/>
      <c r="Z912" s="307">
        <v>0</v>
      </c>
      <c r="AA912" s="407">
        <f t="shared" si="124"/>
        <v>0</v>
      </c>
      <c r="AC912" s="499"/>
      <c r="AD912" s="512"/>
      <c r="AE912" s="512"/>
      <c r="AF912" s="512"/>
      <c r="AG912" s="507"/>
      <c r="AH912" s="507"/>
    </row>
    <row r="913" spans="1:34" ht="63.75">
      <c r="A913" s="608"/>
      <c r="B913" s="608"/>
      <c r="C913" s="306" t="s">
        <v>1382</v>
      </c>
      <c r="D913" s="217" t="s">
        <v>1349</v>
      </c>
      <c r="E913" s="292">
        <v>355</v>
      </c>
      <c r="F913" s="143">
        <f aca="true" t="shared" si="130" ref="F913:F926">100%-((E913-G913)/E913)</f>
        <v>1</v>
      </c>
      <c r="G913" s="292">
        <v>355</v>
      </c>
      <c r="H913" s="427">
        <v>3142</v>
      </c>
      <c r="I913" s="307">
        <v>32194.1</v>
      </c>
      <c r="J913" s="307"/>
      <c r="K913" s="307"/>
      <c r="L913" s="307">
        <v>32194.1</v>
      </c>
      <c r="M913" s="307"/>
      <c r="N913" s="407"/>
      <c r="O913" s="307">
        <v>32194.1</v>
      </c>
      <c r="P913" s="407"/>
      <c r="Q913" s="407"/>
      <c r="R913" s="407"/>
      <c r="S913" s="407"/>
      <c r="T913" s="407"/>
      <c r="U913" s="407"/>
      <c r="V913" s="407"/>
      <c r="W913" s="407"/>
      <c r="X913" s="407"/>
      <c r="Y913" s="407"/>
      <c r="Z913" s="307">
        <v>32194.1</v>
      </c>
      <c r="AA913" s="407">
        <f t="shared" si="124"/>
        <v>0</v>
      </c>
      <c r="AB913" s="539"/>
      <c r="AC913" s="499"/>
      <c r="AD913" s="512">
        <v>32194.1</v>
      </c>
      <c r="AE913" s="512"/>
      <c r="AF913" s="512" t="s">
        <v>722</v>
      </c>
      <c r="AG913" s="507"/>
      <c r="AH913" s="507"/>
    </row>
    <row r="914" spans="1:34" ht="31.5" hidden="1">
      <c r="A914" s="608"/>
      <c r="B914" s="608"/>
      <c r="C914" s="266" t="s">
        <v>1350</v>
      </c>
      <c r="D914" s="13" t="s">
        <v>1351</v>
      </c>
      <c r="E914" s="292">
        <v>457.236</v>
      </c>
      <c r="F914" s="143">
        <f t="shared" si="130"/>
        <v>1</v>
      </c>
      <c r="G914" s="292">
        <v>457.236</v>
      </c>
      <c r="H914" s="427">
        <v>3142</v>
      </c>
      <c r="I914" s="307">
        <v>0</v>
      </c>
      <c r="J914" s="307"/>
      <c r="K914" s="307"/>
      <c r="L914" s="49"/>
      <c r="M914" s="307"/>
      <c r="N914" s="407"/>
      <c r="O914" s="307">
        <v>0</v>
      </c>
      <c r="P914" s="407"/>
      <c r="Q914" s="407"/>
      <c r="R914" s="407"/>
      <c r="S914" s="407"/>
      <c r="T914" s="407"/>
      <c r="U914" s="407"/>
      <c r="V914" s="407"/>
      <c r="W914" s="407"/>
      <c r="X914" s="407"/>
      <c r="Y914" s="407"/>
      <c r="Z914" s="307">
        <v>0</v>
      </c>
      <c r="AA914" s="407">
        <f t="shared" si="124"/>
        <v>0</v>
      </c>
      <c r="AC914" s="499"/>
      <c r="AD914" s="512"/>
      <c r="AE914" s="512"/>
      <c r="AF914" s="512"/>
      <c r="AG914" s="507"/>
      <c r="AH914" s="507"/>
    </row>
    <row r="915" spans="1:34" ht="47.25" hidden="1">
      <c r="A915" s="608"/>
      <c r="B915" s="608"/>
      <c r="C915" s="266" t="s">
        <v>1352</v>
      </c>
      <c r="D915" s="311" t="s">
        <v>1040</v>
      </c>
      <c r="E915" s="292">
        <v>100</v>
      </c>
      <c r="F915" s="143">
        <f t="shared" si="130"/>
        <v>1</v>
      </c>
      <c r="G915" s="292">
        <v>100</v>
      </c>
      <c r="H915" s="427">
        <v>3142</v>
      </c>
      <c r="I915" s="307">
        <v>0</v>
      </c>
      <c r="J915" s="307"/>
      <c r="K915" s="307"/>
      <c r="L915" s="312"/>
      <c r="M915" s="307"/>
      <c r="N915" s="407"/>
      <c r="O915" s="307">
        <v>0</v>
      </c>
      <c r="P915" s="407"/>
      <c r="Q915" s="407"/>
      <c r="R915" s="407"/>
      <c r="S915" s="407"/>
      <c r="T915" s="407"/>
      <c r="U915" s="407"/>
      <c r="V915" s="407"/>
      <c r="W915" s="407"/>
      <c r="X915" s="407"/>
      <c r="Y915" s="407"/>
      <c r="Z915" s="307">
        <v>0</v>
      </c>
      <c r="AA915" s="407">
        <f t="shared" si="124"/>
        <v>0</v>
      </c>
      <c r="AC915" s="499"/>
      <c r="AD915" s="512"/>
      <c r="AE915" s="512"/>
      <c r="AF915" s="512"/>
      <c r="AG915" s="507"/>
      <c r="AH915" s="507"/>
    </row>
    <row r="916" spans="1:34" ht="31.5">
      <c r="A916" s="608"/>
      <c r="B916" s="608"/>
      <c r="C916" s="266" t="s">
        <v>1041</v>
      </c>
      <c r="D916" s="311" t="s">
        <v>1042</v>
      </c>
      <c r="E916" s="292">
        <v>289.309</v>
      </c>
      <c r="F916" s="143">
        <f t="shared" si="130"/>
        <v>0.706</v>
      </c>
      <c r="G916" s="292">
        <v>204.32</v>
      </c>
      <c r="H916" s="427">
        <v>3210</v>
      </c>
      <c r="I916" s="307">
        <v>155315.09</v>
      </c>
      <c r="J916" s="307"/>
      <c r="K916" s="307"/>
      <c r="L916" s="312"/>
      <c r="M916" s="307"/>
      <c r="N916" s="407"/>
      <c r="O916" s="307">
        <v>0</v>
      </c>
      <c r="P916" s="407"/>
      <c r="Q916" s="407"/>
      <c r="R916" s="407"/>
      <c r="S916" s="407"/>
      <c r="T916" s="407"/>
      <c r="U916" s="407"/>
      <c r="V916" s="407"/>
      <c r="W916" s="407"/>
      <c r="X916" s="407">
        <v>155315.09</v>
      </c>
      <c r="Y916" s="407"/>
      <c r="Z916" s="307">
        <v>0</v>
      </c>
      <c r="AA916" s="407">
        <f t="shared" si="124"/>
        <v>155315.09</v>
      </c>
      <c r="AC916" s="499"/>
      <c r="AD916" s="512"/>
      <c r="AE916" s="512"/>
      <c r="AF916" s="512"/>
      <c r="AG916" s="507"/>
      <c r="AH916" s="507"/>
    </row>
    <row r="917" spans="1:34" ht="31.5" hidden="1">
      <c r="A917" s="608"/>
      <c r="B917" s="608"/>
      <c r="C917" s="266" t="s">
        <v>596</v>
      </c>
      <c r="D917" s="311" t="s">
        <v>597</v>
      </c>
      <c r="E917" s="292">
        <v>213.18</v>
      </c>
      <c r="F917" s="143">
        <f t="shared" si="130"/>
        <v>0.677</v>
      </c>
      <c r="G917" s="292">
        <v>144.25</v>
      </c>
      <c r="H917" s="427">
        <v>3142</v>
      </c>
      <c r="I917" s="307">
        <v>0</v>
      </c>
      <c r="J917" s="307"/>
      <c r="K917" s="307"/>
      <c r="L917" s="312"/>
      <c r="M917" s="307"/>
      <c r="N917" s="407"/>
      <c r="O917" s="307">
        <v>0</v>
      </c>
      <c r="P917" s="407"/>
      <c r="Q917" s="407"/>
      <c r="R917" s="407"/>
      <c r="S917" s="407"/>
      <c r="T917" s="407"/>
      <c r="U917" s="407"/>
      <c r="V917" s="407"/>
      <c r="W917" s="407"/>
      <c r="X917" s="407"/>
      <c r="Y917" s="407"/>
      <c r="Z917" s="307">
        <v>0</v>
      </c>
      <c r="AA917" s="407">
        <f t="shared" si="124"/>
        <v>0</v>
      </c>
      <c r="AC917" s="499"/>
      <c r="AD917" s="512"/>
      <c r="AE917" s="512"/>
      <c r="AF917" s="512"/>
      <c r="AG917" s="507"/>
      <c r="AH917" s="507"/>
    </row>
    <row r="918" spans="1:34" ht="31.5" hidden="1">
      <c r="A918" s="608"/>
      <c r="B918" s="608"/>
      <c r="C918" s="266" t="s">
        <v>598</v>
      </c>
      <c r="D918" s="311" t="s">
        <v>285</v>
      </c>
      <c r="E918" s="292">
        <v>254.438</v>
      </c>
      <c r="F918" s="143">
        <f t="shared" si="130"/>
        <v>0.706</v>
      </c>
      <c r="G918" s="292">
        <v>179.68</v>
      </c>
      <c r="H918" s="427">
        <v>3142</v>
      </c>
      <c r="I918" s="307">
        <v>0</v>
      </c>
      <c r="J918" s="307"/>
      <c r="K918" s="307"/>
      <c r="L918" s="312"/>
      <c r="M918" s="307"/>
      <c r="N918" s="407"/>
      <c r="O918" s="307">
        <v>0</v>
      </c>
      <c r="P918" s="407"/>
      <c r="Q918" s="407"/>
      <c r="R918" s="407"/>
      <c r="S918" s="407"/>
      <c r="T918" s="407"/>
      <c r="U918" s="407"/>
      <c r="V918" s="407"/>
      <c r="W918" s="407"/>
      <c r="X918" s="407"/>
      <c r="Y918" s="407"/>
      <c r="Z918" s="307">
        <v>0</v>
      </c>
      <c r="AA918" s="407">
        <f t="shared" si="124"/>
        <v>0</v>
      </c>
      <c r="AC918" s="499"/>
      <c r="AD918" s="512"/>
      <c r="AE918" s="512"/>
      <c r="AF918" s="512"/>
      <c r="AG918" s="507"/>
      <c r="AH918" s="507"/>
    </row>
    <row r="919" spans="1:34" ht="31.5">
      <c r="A919" s="608"/>
      <c r="B919" s="608"/>
      <c r="C919" s="266" t="s">
        <v>286</v>
      </c>
      <c r="D919" s="311" t="s">
        <v>187</v>
      </c>
      <c r="E919" s="292">
        <v>284.646</v>
      </c>
      <c r="F919" s="143">
        <f t="shared" si="130"/>
        <v>0.706</v>
      </c>
      <c r="G919" s="292">
        <v>201.1</v>
      </c>
      <c r="H919" s="427">
        <v>3210</v>
      </c>
      <c r="I919" s="307">
        <v>176586.65</v>
      </c>
      <c r="J919" s="307"/>
      <c r="K919" s="307"/>
      <c r="L919" s="312"/>
      <c r="M919" s="307"/>
      <c r="N919" s="407"/>
      <c r="O919" s="307">
        <v>0</v>
      </c>
      <c r="P919" s="407"/>
      <c r="Q919" s="407"/>
      <c r="R919" s="407"/>
      <c r="S919" s="407"/>
      <c r="T919" s="407"/>
      <c r="U919" s="407"/>
      <c r="V919" s="407"/>
      <c r="W919" s="407"/>
      <c r="X919" s="407">
        <v>176586.65</v>
      </c>
      <c r="Y919" s="407"/>
      <c r="Z919" s="307">
        <v>0</v>
      </c>
      <c r="AA919" s="407">
        <f t="shared" si="124"/>
        <v>176586.65</v>
      </c>
      <c r="AC919" s="499"/>
      <c r="AD919" s="512"/>
      <c r="AE919" s="512"/>
      <c r="AF919" s="512"/>
      <c r="AG919" s="507"/>
      <c r="AH919" s="507"/>
    </row>
    <row r="920" spans="1:34" ht="31.5" hidden="1">
      <c r="A920" s="608"/>
      <c r="B920" s="608"/>
      <c r="C920" s="266" t="s">
        <v>188</v>
      </c>
      <c r="D920" s="311" t="s">
        <v>1064</v>
      </c>
      <c r="E920" s="292">
        <v>198.437</v>
      </c>
      <c r="F920" s="143">
        <f t="shared" si="130"/>
        <v>0.706</v>
      </c>
      <c r="G920" s="292">
        <v>140.1</v>
      </c>
      <c r="H920" s="427">
        <v>3142</v>
      </c>
      <c r="I920" s="307">
        <v>0</v>
      </c>
      <c r="J920" s="307"/>
      <c r="K920" s="307"/>
      <c r="L920" s="312"/>
      <c r="M920" s="307"/>
      <c r="N920" s="407"/>
      <c r="O920" s="307">
        <v>0</v>
      </c>
      <c r="P920" s="407"/>
      <c r="Q920" s="407"/>
      <c r="R920" s="407"/>
      <c r="S920" s="407"/>
      <c r="T920" s="407"/>
      <c r="U920" s="407"/>
      <c r="V920" s="407"/>
      <c r="W920" s="407"/>
      <c r="X920" s="407"/>
      <c r="Y920" s="407"/>
      <c r="Z920" s="307">
        <v>0</v>
      </c>
      <c r="AA920" s="407">
        <f t="shared" si="124"/>
        <v>0</v>
      </c>
      <c r="AC920" s="499"/>
      <c r="AD920" s="512"/>
      <c r="AE920" s="512"/>
      <c r="AF920" s="512"/>
      <c r="AG920" s="507"/>
      <c r="AH920" s="507"/>
    </row>
    <row r="921" spans="1:34" ht="31.5" hidden="1">
      <c r="A921" s="608"/>
      <c r="B921" s="608"/>
      <c r="C921" s="266" t="s">
        <v>1065</v>
      </c>
      <c r="D921" s="311" t="s">
        <v>1066</v>
      </c>
      <c r="E921" s="292">
        <v>200</v>
      </c>
      <c r="F921" s="143">
        <f t="shared" si="130"/>
        <v>1</v>
      </c>
      <c r="G921" s="292">
        <v>200</v>
      </c>
      <c r="H921" s="427">
        <v>3142</v>
      </c>
      <c r="I921" s="307">
        <v>0</v>
      </c>
      <c r="J921" s="307"/>
      <c r="K921" s="307"/>
      <c r="L921" s="313"/>
      <c r="M921" s="307"/>
      <c r="N921" s="407"/>
      <c r="O921" s="307">
        <v>0</v>
      </c>
      <c r="P921" s="407"/>
      <c r="Q921" s="407"/>
      <c r="R921" s="407"/>
      <c r="S921" s="407"/>
      <c r="T921" s="407"/>
      <c r="U921" s="407"/>
      <c r="V921" s="407"/>
      <c r="W921" s="407"/>
      <c r="X921" s="407"/>
      <c r="Y921" s="407"/>
      <c r="Z921" s="307">
        <v>0</v>
      </c>
      <c r="AA921" s="407">
        <f t="shared" si="124"/>
        <v>0</v>
      </c>
      <c r="AC921" s="499"/>
      <c r="AD921" s="512"/>
      <c r="AE921" s="512"/>
      <c r="AF921" s="512"/>
      <c r="AG921" s="507"/>
      <c r="AH921" s="507"/>
    </row>
    <row r="922" spans="1:34" ht="31.5" hidden="1">
      <c r="A922" s="608"/>
      <c r="B922" s="608"/>
      <c r="C922" s="266" t="s">
        <v>1067</v>
      </c>
      <c r="D922" s="311" t="s">
        <v>1068</v>
      </c>
      <c r="E922" s="292">
        <v>200</v>
      </c>
      <c r="F922" s="143">
        <f t="shared" si="130"/>
        <v>1</v>
      </c>
      <c r="G922" s="292">
        <v>200</v>
      </c>
      <c r="H922" s="427">
        <v>3142</v>
      </c>
      <c r="I922" s="307">
        <v>0</v>
      </c>
      <c r="J922" s="307"/>
      <c r="K922" s="307"/>
      <c r="L922" s="313"/>
      <c r="M922" s="307"/>
      <c r="N922" s="407"/>
      <c r="O922" s="307">
        <v>0</v>
      </c>
      <c r="P922" s="407"/>
      <c r="Q922" s="407"/>
      <c r="R922" s="407"/>
      <c r="S922" s="407"/>
      <c r="T922" s="407"/>
      <c r="U922" s="407"/>
      <c r="V922" s="407"/>
      <c r="W922" s="407"/>
      <c r="X922" s="407"/>
      <c r="Y922" s="407"/>
      <c r="Z922" s="307">
        <v>0</v>
      </c>
      <c r="AA922" s="407">
        <f t="shared" si="124"/>
        <v>0</v>
      </c>
      <c r="AC922" s="499"/>
      <c r="AD922" s="512"/>
      <c r="AE922" s="512"/>
      <c r="AF922" s="512"/>
      <c r="AG922" s="507"/>
      <c r="AH922" s="507"/>
    </row>
    <row r="923" spans="1:34" ht="31.5" hidden="1">
      <c r="A923" s="608"/>
      <c r="B923" s="608"/>
      <c r="C923" s="266" t="s">
        <v>1069</v>
      </c>
      <c r="D923" s="311" t="s">
        <v>1070</v>
      </c>
      <c r="E923" s="292">
        <v>100</v>
      </c>
      <c r="F923" s="143">
        <f t="shared" si="130"/>
        <v>1</v>
      </c>
      <c r="G923" s="292">
        <v>100</v>
      </c>
      <c r="H923" s="427">
        <v>3142</v>
      </c>
      <c r="I923" s="307">
        <v>0</v>
      </c>
      <c r="J923" s="307"/>
      <c r="K923" s="307"/>
      <c r="L923" s="313"/>
      <c r="M923" s="307"/>
      <c r="N923" s="407"/>
      <c r="O923" s="307">
        <v>0</v>
      </c>
      <c r="P923" s="407"/>
      <c r="Q923" s="407"/>
      <c r="R923" s="407"/>
      <c r="S923" s="407"/>
      <c r="T923" s="407"/>
      <c r="U923" s="407"/>
      <c r="V923" s="407"/>
      <c r="W923" s="407"/>
      <c r="X923" s="407"/>
      <c r="Y923" s="407"/>
      <c r="Z923" s="307">
        <v>0</v>
      </c>
      <c r="AA923" s="407">
        <f t="shared" si="124"/>
        <v>0</v>
      </c>
      <c r="AC923" s="499"/>
      <c r="AD923" s="512"/>
      <c r="AE923" s="512"/>
      <c r="AF923" s="512"/>
      <c r="AG923" s="507"/>
      <c r="AH923" s="507"/>
    </row>
    <row r="924" spans="1:34" ht="31.5" hidden="1">
      <c r="A924" s="608"/>
      <c r="B924" s="608"/>
      <c r="C924" s="266" t="s">
        <v>1071</v>
      </c>
      <c r="D924" s="311" t="s">
        <v>1072</v>
      </c>
      <c r="E924" s="292">
        <v>260</v>
      </c>
      <c r="F924" s="143">
        <f t="shared" si="130"/>
        <v>1</v>
      </c>
      <c r="G924" s="292">
        <v>260</v>
      </c>
      <c r="H924" s="427">
        <v>3142</v>
      </c>
      <c r="I924" s="307">
        <v>0</v>
      </c>
      <c r="J924" s="307"/>
      <c r="K924" s="307"/>
      <c r="L924" s="313"/>
      <c r="M924" s="307"/>
      <c r="N924" s="407"/>
      <c r="O924" s="307">
        <v>0</v>
      </c>
      <c r="P924" s="407"/>
      <c r="Q924" s="407"/>
      <c r="R924" s="407"/>
      <c r="S924" s="407"/>
      <c r="T924" s="407"/>
      <c r="U924" s="407"/>
      <c r="V924" s="407"/>
      <c r="W924" s="407"/>
      <c r="X924" s="407"/>
      <c r="Y924" s="407"/>
      <c r="Z924" s="307">
        <v>0</v>
      </c>
      <c r="AA924" s="407">
        <f t="shared" si="124"/>
        <v>0</v>
      </c>
      <c r="AC924" s="499"/>
      <c r="AD924" s="512"/>
      <c r="AE924" s="512"/>
      <c r="AF924" s="512"/>
      <c r="AG924" s="507"/>
      <c r="AH924" s="507"/>
    </row>
    <row r="925" spans="1:34" ht="31.5" hidden="1">
      <c r="A925" s="608"/>
      <c r="B925" s="608"/>
      <c r="C925" s="266" t="s">
        <v>1073</v>
      </c>
      <c r="D925" s="14" t="s">
        <v>1074</v>
      </c>
      <c r="E925" s="292">
        <v>100</v>
      </c>
      <c r="F925" s="143">
        <f t="shared" si="130"/>
        <v>1</v>
      </c>
      <c r="G925" s="292">
        <v>100</v>
      </c>
      <c r="H925" s="427">
        <v>3142</v>
      </c>
      <c r="I925" s="307">
        <v>0</v>
      </c>
      <c r="J925" s="307"/>
      <c r="K925" s="307"/>
      <c r="L925" s="85"/>
      <c r="M925" s="307"/>
      <c r="N925" s="407"/>
      <c r="O925" s="307">
        <v>0</v>
      </c>
      <c r="P925" s="407"/>
      <c r="Q925" s="407"/>
      <c r="R925" s="407"/>
      <c r="S925" s="407"/>
      <c r="T925" s="407"/>
      <c r="U925" s="407"/>
      <c r="V925" s="407"/>
      <c r="W925" s="407"/>
      <c r="X925" s="407"/>
      <c r="Y925" s="407"/>
      <c r="Z925" s="307">
        <v>0</v>
      </c>
      <c r="AA925" s="407">
        <f t="shared" si="124"/>
        <v>0</v>
      </c>
      <c r="AC925" s="499"/>
      <c r="AD925" s="512"/>
      <c r="AE925" s="512"/>
      <c r="AF925" s="512"/>
      <c r="AG925" s="507"/>
      <c r="AH925" s="507"/>
    </row>
    <row r="926" spans="1:34" ht="31.5" hidden="1">
      <c r="A926" s="608"/>
      <c r="B926" s="608"/>
      <c r="C926" s="266" t="s">
        <v>1661</v>
      </c>
      <c r="D926" s="14" t="s">
        <v>531</v>
      </c>
      <c r="E926" s="292">
        <v>284.37655</v>
      </c>
      <c r="F926" s="143">
        <f t="shared" si="130"/>
        <v>0.7</v>
      </c>
      <c r="G926" s="292">
        <v>199.10343</v>
      </c>
      <c r="H926" s="427">
        <v>3142</v>
      </c>
      <c r="I926" s="307">
        <v>0</v>
      </c>
      <c r="J926" s="307"/>
      <c r="K926" s="307"/>
      <c r="L926" s="85"/>
      <c r="M926" s="307"/>
      <c r="N926" s="407"/>
      <c r="O926" s="307">
        <v>0</v>
      </c>
      <c r="P926" s="407"/>
      <c r="Q926" s="407"/>
      <c r="R926" s="407"/>
      <c r="S926" s="407"/>
      <c r="T926" s="407"/>
      <c r="U926" s="407"/>
      <c r="V926" s="407"/>
      <c r="W926" s="407"/>
      <c r="X926" s="407"/>
      <c r="Y926" s="407"/>
      <c r="Z926" s="307">
        <v>0</v>
      </c>
      <c r="AA926" s="407">
        <f t="shared" si="124"/>
        <v>0</v>
      </c>
      <c r="AC926" s="499"/>
      <c r="AD926" s="512"/>
      <c r="AE926" s="512"/>
      <c r="AF926" s="512"/>
      <c r="AG926" s="507"/>
      <c r="AH926" s="507"/>
    </row>
    <row r="927" spans="1:34" ht="31.5" hidden="1">
      <c r="A927" s="608"/>
      <c r="B927" s="608"/>
      <c r="C927" s="266" t="s">
        <v>532</v>
      </c>
      <c r="D927" s="14" t="s">
        <v>533</v>
      </c>
      <c r="E927" s="292"/>
      <c r="F927" s="143"/>
      <c r="G927" s="292"/>
      <c r="H927" s="427">
        <v>3142</v>
      </c>
      <c r="I927" s="307">
        <v>0</v>
      </c>
      <c r="J927" s="307"/>
      <c r="K927" s="307"/>
      <c r="L927" s="85"/>
      <c r="M927" s="307"/>
      <c r="N927" s="407"/>
      <c r="O927" s="307">
        <v>0</v>
      </c>
      <c r="P927" s="407"/>
      <c r="Q927" s="407"/>
      <c r="R927" s="407"/>
      <c r="S927" s="407"/>
      <c r="T927" s="407"/>
      <c r="U927" s="407"/>
      <c r="V927" s="407"/>
      <c r="W927" s="407"/>
      <c r="X927" s="407"/>
      <c r="Y927" s="407"/>
      <c r="Z927" s="307">
        <v>0</v>
      </c>
      <c r="AA927" s="407">
        <f t="shared" si="124"/>
        <v>0</v>
      </c>
      <c r="AC927" s="499"/>
      <c r="AD927" s="512"/>
      <c r="AE927" s="512"/>
      <c r="AF927" s="512"/>
      <c r="AG927" s="507"/>
      <c r="AH927" s="507"/>
    </row>
    <row r="928" spans="1:34" ht="31.5">
      <c r="A928" s="608"/>
      <c r="B928" s="608"/>
      <c r="C928" s="575" t="s">
        <v>534</v>
      </c>
      <c r="D928" s="14" t="s">
        <v>884</v>
      </c>
      <c r="E928" s="292">
        <v>51.5</v>
      </c>
      <c r="F928" s="143">
        <f aca="true" t="shared" si="131" ref="F928:F942">100%-((E928-G928)/E928)</f>
        <v>1</v>
      </c>
      <c r="G928" s="292">
        <v>51.5</v>
      </c>
      <c r="H928" s="427">
        <v>3142</v>
      </c>
      <c r="I928" s="307">
        <v>20822.76</v>
      </c>
      <c r="J928" s="307"/>
      <c r="K928" s="307"/>
      <c r="L928" s="85">
        <v>20822.76</v>
      </c>
      <c r="M928" s="307"/>
      <c r="N928" s="407"/>
      <c r="O928" s="307">
        <v>20822.76</v>
      </c>
      <c r="P928" s="407"/>
      <c r="Q928" s="407"/>
      <c r="R928" s="407"/>
      <c r="S928" s="407"/>
      <c r="T928" s="407"/>
      <c r="U928" s="407"/>
      <c r="V928" s="407"/>
      <c r="W928" s="407"/>
      <c r="X928" s="407"/>
      <c r="Y928" s="407"/>
      <c r="Z928" s="307">
        <v>20822.76</v>
      </c>
      <c r="AA928" s="407">
        <f t="shared" si="124"/>
        <v>0</v>
      </c>
      <c r="AC928" s="499"/>
      <c r="AD928" s="512">
        <v>20822.76</v>
      </c>
      <c r="AE928" s="512"/>
      <c r="AF928" s="512" t="s">
        <v>723</v>
      </c>
      <c r="AG928" s="507"/>
      <c r="AH928" s="507"/>
    </row>
    <row r="929" spans="1:34" ht="15.75" customHeight="1" hidden="1">
      <c r="A929" s="608"/>
      <c r="B929" s="608"/>
      <c r="C929" s="576"/>
      <c r="D929" s="86" t="s">
        <v>885</v>
      </c>
      <c r="E929" s="292">
        <v>13.36</v>
      </c>
      <c r="F929" s="143">
        <f t="shared" si="131"/>
        <v>1</v>
      </c>
      <c r="G929" s="292">
        <v>13.36</v>
      </c>
      <c r="H929" s="427">
        <v>3142</v>
      </c>
      <c r="I929" s="314">
        <v>0</v>
      </c>
      <c r="J929" s="314"/>
      <c r="K929" s="314"/>
      <c r="L929" s="87"/>
      <c r="M929" s="314"/>
      <c r="N929" s="407"/>
      <c r="O929" s="314">
        <v>0</v>
      </c>
      <c r="P929" s="407"/>
      <c r="Q929" s="407"/>
      <c r="R929" s="407"/>
      <c r="S929" s="407"/>
      <c r="T929" s="407"/>
      <c r="U929" s="407"/>
      <c r="V929" s="407"/>
      <c r="W929" s="407"/>
      <c r="X929" s="407"/>
      <c r="Y929" s="407"/>
      <c r="Z929" s="314">
        <v>0</v>
      </c>
      <c r="AA929" s="407">
        <f t="shared" si="124"/>
        <v>0</v>
      </c>
      <c r="AC929" s="499"/>
      <c r="AD929" s="512"/>
      <c r="AE929" s="512"/>
      <c r="AF929" s="512"/>
      <c r="AG929" s="507"/>
      <c r="AH929" s="507"/>
    </row>
    <row r="930" spans="1:34" ht="15.75" customHeight="1" hidden="1">
      <c r="A930" s="608"/>
      <c r="B930" s="608"/>
      <c r="C930" s="576"/>
      <c r="D930" s="86" t="s">
        <v>836</v>
      </c>
      <c r="E930" s="292">
        <v>12.64</v>
      </c>
      <c r="F930" s="143">
        <f t="shared" si="131"/>
        <v>1</v>
      </c>
      <c r="G930" s="292">
        <v>12.64</v>
      </c>
      <c r="H930" s="427">
        <v>3142</v>
      </c>
      <c r="I930" s="314">
        <v>0</v>
      </c>
      <c r="J930" s="314"/>
      <c r="K930" s="314"/>
      <c r="L930" s="87"/>
      <c r="M930" s="314"/>
      <c r="N930" s="407"/>
      <c r="O930" s="314">
        <v>0</v>
      </c>
      <c r="P930" s="407"/>
      <c r="Q930" s="407"/>
      <c r="R930" s="407"/>
      <c r="S930" s="407"/>
      <c r="T930" s="407"/>
      <c r="U930" s="407"/>
      <c r="V930" s="407"/>
      <c r="W930" s="407"/>
      <c r="X930" s="407"/>
      <c r="Y930" s="407"/>
      <c r="Z930" s="314">
        <v>0</v>
      </c>
      <c r="AA930" s="407">
        <f t="shared" si="124"/>
        <v>0</v>
      </c>
      <c r="AC930" s="499"/>
      <c r="AD930" s="512"/>
      <c r="AE930" s="512"/>
      <c r="AF930" s="512"/>
      <c r="AG930" s="507"/>
      <c r="AH930" s="507"/>
    </row>
    <row r="931" spans="1:34" ht="47.25" customHeight="1" hidden="1">
      <c r="A931" s="608"/>
      <c r="B931" s="608"/>
      <c r="C931" s="577"/>
      <c r="D931" s="86" t="s">
        <v>837</v>
      </c>
      <c r="E931" s="292">
        <v>25.5</v>
      </c>
      <c r="F931" s="143">
        <f t="shared" si="131"/>
        <v>1</v>
      </c>
      <c r="G931" s="292">
        <v>25.5</v>
      </c>
      <c r="H931" s="427">
        <v>3142</v>
      </c>
      <c r="I931" s="314">
        <v>0</v>
      </c>
      <c r="J931" s="314"/>
      <c r="K931" s="314"/>
      <c r="L931" s="87"/>
      <c r="M931" s="314"/>
      <c r="N931" s="407"/>
      <c r="O931" s="314">
        <v>0</v>
      </c>
      <c r="P931" s="407"/>
      <c r="Q931" s="407"/>
      <c r="R931" s="407"/>
      <c r="S931" s="407"/>
      <c r="T931" s="407"/>
      <c r="U931" s="407"/>
      <c r="V931" s="407"/>
      <c r="W931" s="407"/>
      <c r="X931" s="407"/>
      <c r="Y931" s="407"/>
      <c r="Z931" s="314">
        <v>0</v>
      </c>
      <c r="AA931" s="407">
        <f t="shared" si="124"/>
        <v>0</v>
      </c>
      <c r="AC931" s="499"/>
      <c r="AD931" s="512"/>
      <c r="AE931" s="512"/>
      <c r="AF931" s="512"/>
      <c r="AG931" s="507"/>
      <c r="AH931" s="507"/>
    </row>
    <row r="932" spans="1:34" ht="31.5" hidden="1">
      <c r="A932" s="608"/>
      <c r="B932" s="608"/>
      <c r="C932" s="266" t="s">
        <v>838</v>
      </c>
      <c r="D932" s="14" t="s">
        <v>1479</v>
      </c>
      <c r="E932" s="292">
        <v>800</v>
      </c>
      <c r="F932" s="143">
        <f t="shared" si="131"/>
        <v>1</v>
      </c>
      <c r="G932" s="292">
        <v>800</v>
      </c>
      <c r="H932" s="427">
        <v>3142</v>
      </c>
      <c r="I932" s="307">
        <v>0</v>
      </c>
      <c r="J932" s="307"/>
      <c r="K932" s="307"/>
      <c r="L932" s="49"/>
      <c r="M932" s="307"/>
      <c r="N932" s="407"/>
      <c r="O932" s="307">
        <v>0</v>
      </c>
      <c r="P932" s="407"/>
      <c r="Q932" s="407"/>
      <c r="R932" s="407"/>
      <c r="S932" s="407"/>
      <c r="T932" s="407"/>
      <c r="U932" s="407"/>
      <c r="V932" s="407"/>
      <c r="W932" s="407"/>
      <c r="X932" s="407"/>
      <c r="Y932" s="407"/>
      <c r="Z932" s="307">
        <v>0</v>
      </c>
      <c r="AA932" s="407">
        <f t="shared" si="124"/>
        <v>0</v>
      </c>
      <c r="AC932" s="499"/>
      <c r="AD932" s="512"/>
      <c r="AE932" s="512"/>
      <c r="AF932" s="512"/>
      <c r="AG932" s="507"/>
      <c r="AH932" s="507"/>
    </row>
    <row r="933" spans="1:34" ht="15.75" hidden="1">
      <c r="A933" s="608"/>
      <c r="B933" s="608"/>
      <c r="C933" s="266" t="s">
        <v>1480</v>
      </c>
      <c r="D933" s="14" t="s">
        <v>1250</v>
      </c>
      <c r="E933" s="292">
        <v>273.7063</v>
      </c>
      <c r="F933" s="143">
        <f t="shared" si="131"/>
        <v>1</v>
      </c>
      <c r="G933" s="292">
        <v>273.7063</v>
      </c>
      <c r="H933" s="427">
        <v>3142</v>
      </c>
      <c r="I933" s="307">
        <v>0</v>
      </c>
      <c r="J933" s="307"/>
      <c r="K933" s="307"/>
      <c r="L933" s="49"/>
      <c r="M933" s="307"/>
      <c r="N933" s="407"/>
      <c r="O933" s="307">
        <v>0</v>
      </c>
      <c r="P933" s="407"/>
      <c r="Q933" s="407"/>
      <c r="R933" s="407"/>
      <c r="S933" s="407"/>
      <c r="T933" s="407"/>
      <c r="U933" s="407"/>
      <c r="V933" s="407"/>
      <c r="W933" s="407"/>
      <c r="X933" s="407"/>
      <c r="Y933" s="407"/>
      <c r="Z933" s="307">
        <v>0</v>
      </c>
      <c r="AA933" s="407">
        <f t="shared" si="124"/>
        <v>0</v>
      </c>
      <c r="AC933" s="499"/>
      <c r="AD933" s="512"/>
      <c r="AE933" s="512"/>
      <c r="AF933" s="512"/>
      <c r="AG933" s="507"/>
      <c r="AH933" s="507"/>
    </row>
    <row r="934" spans="1:34" ht="31.5" hidden="1">
      <c r="A934" s="608"/>
      <c r="B934" s="608"/>
      <c r="C934" s="266" t="s">
        <v>1251</v>
      </c>
      <c r="D934" s="14" t="s">
        <v>1252</v>
      </c>
      <c r="E934" s="292">
        <v>130</v>
      </c>
      <c r="F934" s="143">
        <f t="shared" si="131"/>
        <v>1</v>
      </c>
      <c r="G934" s="292">
        <v>130</v>
      </c>
      <c r="H934" s="427">
        <v>3142</v>
      </c>
      <c r="I934" s="307">
        <v>0</v>
      </c>
      <c r="J934" s="307"/>
      <c r="K934" s="307"/>
      <c r="L934" s="49"/>
      <c r="M934" s="307"/>
      <c r="N934" s="407"/>
      <c r="O934" s="307">
        <v>0</v>
      </c>
      <c r="P934" s="407"/>
      <c r="Q934" s="407"/>
      <c r="R934" s="407"/>
      <c r="S934" s="407"/>
      <c r="T934" s="407"/>
      <c r="U934" s="407"/>
      <c r="V934" s="407"/>
      <c r="W934" s="407"/>
      <c r="X934" s="407"/>
      <c r="Y934" s="407"/>
      <c r="Z934" s="307">
        <v>0</v>
      </c>
      <c r="AA934" s="407">
        <f t="shared" si="124"/>
        <v>0</v>
      </c>
      <c r="AC934" s="499"/>
      <c r="AD934" s="512"/>
      <c r="AE934" s="512"/>
      <c r="AF934" s="512"/>
      <c r="AG934" s="507"/>
      <c r="AH934" s="507"/>
    </row>
    <row r="935" spans="1:34" ht="31.5" hidden="1">
      <c r="A935" s="608"/>
      <c r="B935" s="608"/>
      <c r="C935" s="266" t="s">
        <v>1738</v>
      </c>
      <c r="D935" s="14" t="s">
        <v>326</v>
      </c>
      <c r="E935" s="292">
        <v>140</v>
      </c>
      <c r="F935" s="143">
        <f t="shared" si="131"/>
        <v>1</v>
      </c>
      <c r="G935" s="292">
        <v>140</v>
      </c>
      <c r="H935" s="427">
        <v>3142</v>
      </c>
      <c r="I935" s="307">
        <v>0</v>
      </c>
      <c r="J935" s="307"/>
      <c r="K935" s="307"/>
      <c r="L935" s="49"/>
      <c r="M935" s="307"/>
      <c r="N935" s="407"/>
      <c r="O935" s="307">
        <v>0</v>
      </c>
      <c r="P935" s="407"/>
      <c r="Q935" s="407"/>
      <c r="R935" s="407"/>
      <c r="S935" s="407"/>
      <c r="T935" s="407"/>
      <c r="U935" s="407"/>
      <c r="V935" s="407"/>
      <c r="W935" s="407"/>
      <c r="X935" s="407"/>
      <c r="Y935" s="407"/>
      <c r="Z935" s="307">
        <v>0</v>
      </c>
      <c r="AA935" s="407">
        <f t="shared" si="124"/>
        <v>0</v>
      </c>
      <c r="AC935" s="499"/>
      <c r="AD935" s="512"/>
      <c r="AE935" s="512"/>
      <c r="AF935" s="512"/>
      <c r="AG935" s="507"/>
      <c r="AH935" s="507"/>
    </row>
    <row r="936" spans="1:34" ht="31.5" hidden="1">
      <c r="A936" s="608"/>
      <c r="B936" s="608"/>
      <c r="C936" s="266" t="s">
        <v>327</v>
      </c>
      <c r="D936" s="14" t="s">
        <v>328</v>
      </c>
      <c r="E936" s="292">
        <v>130</v>
      </c>
      <c r="F936" s="143">
        <f t="shared" si="131"/>
        <v>1</v>
      </c>
      <c r="G936" s="292">
        <v>130</v>
      </c>
      <c r="H936" s="427">
        <v>3142</v>
      </c>
      <c r="I936" s="307">
        <v>0</v>
      </c>
      <c r="J936" s="307"/>
      <c r="K936" s="307"/>
      <c r="L936" s="49"/>
      <c r="M936" s="307"/>
      <c r="N936" s="407"/>
      <c r="O936" s="307">
        <v>0</v>
      </c>
      <c r="P936" s="407"/>
      <c r="Q936" s="407"/>
      <c r="R936" s="407"/>
      <c r="S936" s="407"/>
      <c r="T936" s="407"/>
      <c r="U936" s="407"/>
      <c r="V936" s="407"/>
      <c r="W936" s="407"/>
      <c r="X936" s="407"/>
      <c r="Y936" s="407"/>
      <c r="Z936" s="307">
        <v>0</v>
      </c>
      <c r="AA936" s="407">
        <f t="shared" si="124"/>
        <v>0</v>
      </c>
      <c r="AC936" s="499"/>
      <c r="AD936" s="512"/>
      <c r="AE936" s="512"/>
      <c r="AF936" s="512"/>
      <c r="AG936" s="507"/>
      <c r="AH936" s="507"/>
    </row>
    <row r="937" spans="1:34" ht="31.5" hidden="1">
      <c r="A937" s="608"/>
      <c r="B937" s="608"/>
      <c r="C937" s="266" t="s">
        <v>329</v>
      </c>
      <c r="D937" s="14" t="s">
        <v>1075</v>
      </c>
      <c r="E937" s="292">
        <v>200</v>
      </c>
      <c r="F937" s="143">
        <f t="shared" si="131"/>
        <v>1</v>
      </c>
      <c r="G937" s="292">
        <v>200</v>
      </c>
      <c r="H937" s="427">
        <v>3142</v>
      </c>
      <c r="I937" s="307">
        <v>0</v>
      </c>
      <c r="J937" s="307"/>
      <c r="K937" s="307"/>
      <c r="L937" s="49"/>
      <c r="M937" s="307"/>
      <c r="N937" s="407"/>
      <c r="O937" s="307">
        <v>0</v>
      </c>
      <c r="P937" s="407"/>
      <c r="Q937" s="407"/>
      <c r="R937" s="407"/>
      <c r="S937" s="407"/>
      <c r="T937" s="407"/>
      <c r="U937" s="407"/>
      <c r="V937" s="407"/>
      <c r="W937" s="407"/>
      <c r="X937" s="407"/>
      <c r="Y937" s="407"/>
      <c r="Z937" s="307">
        <v>0</v>
      </c>
      <c r="AA937" s="407">
        <f t="shared" si="124"/>
        <v>0</v>
      </c>
      <c r="AC937" s="499"/>
      <c r="AD937" s="512"/>
      <c r="AE937" s="512"/>
      <c r="AF937" s="512"/>
      <c r="AG937" s="507"/>
      <c r="AH937" s="507"/>
    </row>
    <row r="938" spans="1:34" ht="31.5" customHeight="1" hidden="1">
      <c r="A938" s="608"/>
      <c r="B938" s="608"/>
      <c r="C938" s="266" t="s">
        <v>1076</v>
      </c>
      <c r="D938" s="14" t="s">
        <v>1077</v>
      </c>
      <c r="E938" s="292">
        <v>2000</v>
      </c>
      <c r="F938" s="143">
        <f t="shared" si="131"/>
        <v>1</v>
      </c>
      <c r="G938" s="292">
        <v>2000</v>
      </c>
      <c r="H938" s="427">
        <v>3142</v>
      </c>
      <c r="I938" s="307">
        <v>0</v>
      </c>
      <c r="J938" s="307"/>
      <c r="K938" s="307"/>
      <c r="L938" s="49"/>
      <c r="M938" s="307"/>
      <c r="N938" s="407"/>
      <c r="O938" s="307">
        <v>0</v>
      </c>
      <c r="P938" s="407"/>
      <c r="Q938" s="407"/>
      <c r="R938" s="407"/>
      <c r="S938" s="407"/>
      <c r="T938" s="407"/>
      <c r="U938" s="407"/>
      <c r="V938" s="407"/>
      <c r="W938" s="407"/>
      <c r="X938" s="407"/>
      <c r="Y938" s="407"/>
      <c r="Z938" s="307">
        <v>0</v>
      </c>
      <c r="AA938" s="407">
        <f t="shared" si="124"/>
        <v>0</v>
      </c>
      <c r="AC938" s="499"/>
      <c r="AD938" s="512"/>
      <c r="AE938" s="512"/>
      <c r="AF938" s="512"/>
      <c r="AG938" s="507"/>
      <c r="AH938" s="507"/>
    </row>
    <row r="939" spans="1:34" ht="31.5">
      <c r="A939" s="608"/>
      <c r="B939" s="608"/>
      <c r="C939" s="266" t="s">
        <v>1078</v>
      </c>
      <c r="D939" s="14" t="s">
        <v>1079</v>
      </c>
      <c r="E939" s="292">
        <v>35</v>
      </c>
      <c r="F939" s="143">
        <f t="shared" si="131"/>
        <v>1</v>
      </c>
      <c r="G939" s="292">
        <v>35</v>
      </c>
      <c r="H939" s="427">
        <v>3142</v>
      </c>
      <c r="I939" s="307">
        <v>1320</v>
      </c>
      <c r="J939" s="307"/>
      <c r="K939" s="307"/>
      <c r="L939" s="49">
        <v>1320</v>
      </c>
      <c r="M939" s="307"/>
      <c r="N939" s="407"/>
      <c r="O939" s="307">
        <v>1320</v>
      </c>
      <c r="P939" s="407"/>
      <c r="Q939" s="407"/>
      <c r="R939" s="407"/>
      <c r="S939" s="407"/>
      <c r="T939" s="407"/>
      <c r="U939" s="407"/>
      <c r="V939" s="407"/>
      <c r="W939" s="407"/>
      <c r="X939" s="407"/>
      <c r="Y939" s="407"/>
      <c r="Z939" s="307">
        <v>1320</v>
      </c>
      <c r="AA939" s="407">
        <f t="shared" si="124"/>
        <v>0</v>
      </c>
      <c r="AC939" s="499"/>
      <c r="AD939" s="512">
        <v>1320</v>
      </c>
      <c r="AE939" s="512"/>
      <c r="AF939" s="512" t="s">
        <v>724</v>
      </c>
      <c r="AG939" s="507"/>
      <c r="AH939" s="507"/>
    </row>
    <row r="940" spans="1:34" ht="31.5" hidden="1">
      <c r="A940" s="608"/>
      <c r="B940" s="608"/>
      <c r="C940" s="266" t="s">
        <v>1080</v>
      </c>
      <c r="D940" s="14" t="s">
        <v>170</v>
      </c>
      <c r="E940" s="292">
        <v>40</v>
      </c>
      <c r="F940" s="143">
        <f t="shared" si="131"/>
        <v>1</v>
      </c>
      <c r="G940" s="292">
        <v>40</v>
      </c>
      <c r="H940" s="427">
        <v>3142</v>
      </c>
      <c r="I940" s="307">
        <v>0</v>
      </c>
      <c r="J940" s="307"/>
      <c r="K940" s="307"/>
      <c r="L940" s="49"/>
      <c r="M940" s="307"/>
      <c r="N940" s="407"/>
      <c r="O940" s="307">
        <v>0</v>
      </c>
      <c r="P940" s="407"/>
      <c r="Q940" s="407"/>
      <c r="R940" s="407"/>
      <c r="S940" s="407"/>
      <c r="T940" s="407"/>
      <c r="U940" s="407"/>
      <c r="V940" s="407"/>
      <c r="W940" s="407"/>
      <c r="X940" s="407"/>
      <c r="Y940" s="407"/>
      <c r="Z940" s="307">
        <v>0</v>
      </c>
      <c r="AA940" s="407">
        <f aca="true" t="shared" si="132" ref="AA940:AA1005">N940+O940+P940+Q940+R940+S940+T940+U940+V940+W940+X940-Z940</f>
        <v>0</v>
      </c>
      <c r="AC940" s="499"/>
      <c r="AD940" s="512"/>
      <c r="AE940" s="512"/>
      <c r="AF940" s="512"/>
      <c r="AG940" s="507"/>
      <c r="AH940" s="507"/>
    </row>
    <row r="941" spans="1:34" ht="31.5" hidden="1">
      <c r="A941" s="608"/>
      <c r="B941" s="608"/>
      <c r="C941" s="266" t="s">
        <v>171</v>
      </c>
      <c r="D941" s="14" t="s">
        <v>172</v>
      </c>
      <c r="E941" s="292">
        <v>1000</v>
      </c>
      <c r="F941" s="143">
        <f t="shared" si="131"/>
        <v>1</v>
      </c>
      <c r="G941" s="292">
        <v>1000</v>
      </c>
      <c r="H941" s="427">
        <v>3142</v>
      </c>
      <c r="I941" s="307">
        <v>0</v>
      </c>
      <c r="J941" s="307"/>
      <c r="K941" s="307"/>
      <c r="L941" s="49"/>
      <c r="M941" s="307"/>
      <c r="N941" s="407"/>
      <c r="O941" s="307">
        <v>0</v>
      </c>
      <c r="P941" s="407"/>
      <c r="Q941" s="407"/>
      <c r="R941" s="407"/>
      <c r="S941" s="407"/>
      <c r="T941" s="407"/>
      <c r="U941" s="407"/>
      <c r="V941" s="407"/>
      <c r="W941" s="407"/>
      <c r="X941" s="407"/>
      <c r="Y941" s="407"/>
      <c r="Z941" s="307">
        <v>0</v>
      </c>
      <c r="AA941" s="407">
        <f t="shared" si="132"/>
        <v>0</v>
      </c>
      <c r="AC941" s="499"/>
      <c r="AD941" s="512"/>
      <c r="AE941" s="512"/>
      <c r="AF941" s="512"/>
      <c r="AG941" s="507"/>
      <c r="AH941" s="507"/>
    </row>
    <row r="942" spans="1:34" ht="38.25">
      <c r="A942" s="608"/>
      <c r="B942" s="608"/>
      <c r="C942" s="266" t="s">
        <v>173</v>
      </c>
      <c r="D942" s="88" t="s">
        <v>174</v>
      </c>
      <c r="E942" s="292">
        <v>300</v>
      </c>
      <c r="F942" s="143">
        <f t="shared" si="131"/>
        <v>1</v>
      </c>
      <c r="G942" s="292">
        <v>300</v>
      </c>
      <c r="H942" s="427">
        <v>3142</v>
      </c>
      <c r="I942" s="307">
        <v>47474.77</v>
      </c>
      <c r="J942" s="307"/>
      <c r="K942" s="307"/>
      <c r="L942" s="49">
        <v>47474.77</v>
      </c>
      <c r="M942" s="307"/>
      <c r="N942" s="407"/>
      <c r="O942" s="307">
        <v>47474.77</v>
      </c>
      <c r="P942" s="407"/>
      <c r="Q942" s="407"/>
      <c r="R942" s="407"/>
      <c r="S942" s="407"/>
      <c r="T942" s="407"/>
      <c r="U942" s="407"/>
      <c r="V942" s="407"/>
      <c r="W942" s="407"/>
      <c r="X942" s="407"/>
      <c r="Y942" s="407"/>
      <c r="Z942" s="307">
        <v>47474.77</v>
      </c>
      <c r="AA942" s="407">
        <f t="shared" si="132"/>
        <v>0</v>
      </c>
      <c r="AC942" s="499"/>
      <c r="AD942" s="512">
        <v>47474.77</v>
      </c>
      <c r="AE942" s="512"/>
      <c r="AF942" s="512" t="s">
        <v>725</v>
      </c>
      <c r="AG942" s="507"/>
      <c r="AH942" s="507"/>
    </row>
    <row r="943" spans="1:34" ht="31.5" hidden="1">
      <c r="A943" s="608"/>
      <c r="B943" s="608"/>
      <c r="C943" s="266"/>
      <c r="D943" s="88" t="s">
        <v>175</v>
      </c>
      <c r="E943" s="292"/>
      <c r="F943" s="143"/>
      <c r="G943" s="292"/>
      <c r="H943" s="427">
        <v>3142</v>
      </c>
      <c r="I943" s="307">
        <v>0</v>
      </c>
      <c r="J943" s="307"/>
      <c r="K943" s="307"/>
      <c r="L943" s="89"/>
      <c r="M943" s="307"/>
      <c r="N943" s="407"/>
      <c r="O943" s="307">
        <v>0</v>
      </c>
      <c r="P943" s="407"/>
      <c r="Q943" s="407"/>
      <c r="R943" s="407"/>
      <c r="S943" s="407"/>
      <c r="T943" s="407"/>
      <c r="U943" s="407"/>
      <c r="V943" s="407"/>
      <c r="W943" s="407"/>
      <c r="X943" s="407"/>
      <c r="Y943" s="407"/>
      <c r="Z943" s="307">
        <v>0</v>
      </c>
      <c r="AA943" s="407">
        <f t="shared" si="132"/>
        <v>0</v>
      </c>
      <c r="AC943" s="499"/>
      <c r="AD943" s="512"/>
      <c r="AE943" s="512"/>
      <c r="AF943" s="512"/>
      <c r="AG943" s="507"/>
      <c r="AH943" s="507"/>
    </row>
    <row r="944" spans="1:34" ht="47.25" hidden="1">
      <c r="A944" s="608"/>
      <c r="B944" s="608"/>
      <c r="C944" s="266"/>
      <c r="D944" s="88" t="s">
        <v>215</v>
      </c>
      <c r="E944" s="292"/>
      <c r="F944" s="143"/>
      <c r="G944" s="292"/>
      <c r="H944" s="427">
        <v>3142</v>
      </c>
      <c r="I944" s="307">
        <v>0</v>
      </c>
      <c r="J944" s="307"/>
      <c r="K944" s="307"/>
      <c r="L944" s="89"/>
      <c r="M944" s="307"/>
      <c r="N944" s="407"/>
      <c r="O944" s="307">
        <v>0</v>
      </c>
      <c r="P944" s="407"/>
      <c r="Q944" s="407"/>
      <c r="R944" s="407"/>
      <c r="S944" s="407"/>
      <c r="T944" s="407"/>
      <c r="U944" s="407"/>
      <c r="V944" s="407"/>
      <c r="W944" s="407"/>
      <c r="X944" s="407"/>
      <c r="Y944" s="407"/>
      <c r="Z944" s="307">
        <v>0</v>
      </c>
      <c r="AA944" s="407">
        <f t="shared" si="132"/>
        <v>0</v>
      </c>
      <c r="AC944" s="499"/>
      <c r="AD944" s="512"/>
      <c r="AE944" s="512"/>
      <c r="AF944" s="512"/>
      <c r="AG944" s="507"/>
      <c r="AH944" s="507"/>
    </row>
    <row r="945" spans="1:34" ht="31.5" hidden="1">
      <c r="A945" s="608"/>
      <c r="B945" s="608"/>
      <c r="C945" s="266"/>
      <c r="D945" s="88" t="s">
        <v>1074</v>
      </c>
      <c r="E945" s="292"/>
      <c r="F945" s="143"/>
      <c r="G945" s="292"/>
      <c r="H945" s="427">
        <v>3142</v>
      </c>
      <c r="I945" s="307">
        <v>0</v>
      </c>
      <c r="J945" s="307"/>
      <c r="K945" s="307"/>
      <c r="L945" s="89"/>
      <c r="M945" s="307"/>
      <c r="N945" s="407"/>
      <c r="O945" s="307">
        <v>0</v>
      </c>
      <c r="P945" s="407"/>
      <c r="Q945" s="407"/>
      <c r="R945" s="407"/>
      <c r="S945" s="407"/>
      <c r="T945" s="407"/>
      <c r="U945" s="407"/>
      <c r="V945" s="407"/>
      <c r="W945" s="407"/>
      <c r="X945" s="407"/>
      <c r="Y945" s="407"/>
      <c r="Z945" s="307">
        <v>0</v>
      </c>
      <c r="AA945" s="407">
        <f t="shared" si="132"/>
        <v>0</v>
      </c>
      <c r="AC945" s="499"/>
      <c r="AD945" s="512"/>
      <c r="AE945" s="512"/>
      <c r="AF945" s="512"/>
      <c r="AG945" s="507"/>
      <c r="AH945" s="507"/>
    </row>
    <row r="946" spans="1:34" ht="31.5" hidden="1">
      <c r="A946" s="608"/>
      <c r="B946" s="608"/>
      <c r="C946" s="266"/>
      <c r="D946" s="88" t="s">
        <v>92</v>
      </c>
      <c r="E946" s="292"/>
      <c r="F946" s="143"/>
      <c r="G946" s="292"/>
      <c r="H946" s="427">
        <v>3142</v>
      </c>
      <c r="I946" s="307">
        <v>0</v>
      </c>
      <c r="J946" s="307"/>
      <c r="K946" s="307"/>
      <c r="L946" s="89"/>
      <c r="M946" s="307"/>
      <c r="N946" s="407"/>
      <c r="O946" s="307">
        <v>0</v>
      </c>
      <c r="P946" s="407"/>
      <c r="Q946" s="407"/>
      <c r="R946" s="407"/>
      <c r="S946" s="407"/>
      <c r="T946" s="407"/>
      <c r="U946" s="407"/>
      <c r="V946" s="407"/>
      <c r="W946" s="407"/>
      <c r="X946" s="407"/>
      <c r="Y946" s="407"/>
      <c r="Z946" s="307">
        <v>0</v>
      </c>
      <c r="AA946" s="407">
        <f t="shared" si="132"/>
        <v>0</v>
      </c>
      <c r="AC946" s="499"/>
      <c r="AD946" s="512"/>
      <c r="AE946" s="512"/>
      <c r="AF946" s="512"/>
      <c r="AG946" s="507"/>
      <c r="AH946" s="507"/>
    </row>
    <row r="947" spans="1:34" ht="31.5" hidden="1">
      <c r="A947" s="608"/>
      <c r="B947" s="608"/>
      <c r="C947" s="266" t="s">
        <v>93</v>
      </c>
      <c r="D947" s="88" t="s">
        <v>10</v>
      </c>
      <c r="E947" s="292">
        <v>45.5</v>
      </c>
      <c r="F947" s="143">
        <f aca="true" t="shared" si="133" ref="F947:F954">100%-((E947-G947)/E947)</f>
        <v>1</v>
      </c>
      <c r="G947" s="292">
        <v>45.5</v>
      </c>
      <c r="H947" s="427">
        <v>3142</v>
      </c>
      <c r="I947" s="307">
        <v>0</v>
      </c>
      <c r="J947" s="307"/>
      <c r="K947" s="307"/>
      <c r="L947" s="89"/>
      <c r="M947" s="307"/>
      <c r="N947" s="407"/>
      <c r="O947" s="307">
        <v>0</v>
      </c>
      <c r="P947" s="407"/>
      <c r="Q947" s="407"/>
      <c r="R947" s="407"/>
      <c r="S947" s="407"/>
      <c r="T947" s="407"/>
      <c r="U947" s="407"/>
      <c r="V947" s="407"/>
      <c r="W947" s="407"/>
      <c r="X947" s="407"/>
      <c r="Y947" s="407"/>
      <c r="Z947" s="307">
        <v>0</v>
      </c>
      <c r="AA947" s="407">
        <f t="shared" si="132"/>
        <v>0</v>
      </c>
      <c r="AC947" s="499"/>
      <c r="AD947" s="512"/>
      <c r="AE947" s="512"/>
      <c r="AF947" s="512"/>
      <c r="AG947" s="507"/>
      <c r="AH947" s="507"/>
    </row>
    <row r="948" spans="1:34" ht="31.5" hidden="1">
      <c r="A948" s="608"/>
      <c r="B948" s="608"/>
      <c r="C948" s="266" t="s">
        <v>11</v>
      </c>
      <c r="D948" s="14" t="s">
        <v>12</v>
      </c>
      <c r="E948" s="292">
        <v>666.05813</v>
      </c>
      <c r="F948" s="143">
        <f t="shared" si="133"/>
        <v>0.98</v>
      </c>
      <c r="G948" s="292">
        <v>652.974</v>
      </c>
      <c r="H948" s="427">
        <v>3142</v>
      </c>
      <c r="I948" s="307">
        <v>0</v>
      </c>
      <c r="J948" s="307"/>
      <c r="K948" s="307"/>
      <c r="L948" s="49"/>
      <c r="M948" s="307"/>
      <c r="N948" s="407"/>
      <c r="O948" s="307">
        <v>0</v>
      </c>
      <c r="P948" s="407"/>
      <c r="Q948" s="407"/>
      <c r="R948" s="407"/>
      <c r="S948" s="407"/>
      <c r="T948" s="407"/>
      <c r="U948" s="407"/>
      <c r="V948" s="407"/>
      <c r="W948" s="407"/>
      <c r="X948" s="407"/>
      <c r="Y948" s="407"/>
      <c r="Z948" s="307">
        <v>0</v>
      </c>
      <c r="AA948" s="407">
        <f t="shared" si="132"/>
        <v>0</v>
      </c>
      <c r="AC948" s="499"/>
      <c r="AD948" s="512"/>
      <c r="AE948" s="512"/>
      <c r="AF948" s="512"/>
      <c r="AG948" s="507"/>
      <c r="AH948" s="507"/>
    </row>
    <row r="949" spans="1:34" ht="47.25" hidden="1">
      <c r="A949" s="608"/>
      <c r="B949" s="608"/>
      <c r="C949" s="266" t="s">
        <v>13</v>
      </c>
      <c r="D949" s="14" t="s">
        <v>258</v>
      </c>
      <c r="E949" s="292">
        <v>480</v>
      </c>
      <c r="F949" s="143">
        <f t="shared" si="133"/>
        <v>0.569</v>
      </c>
      <c r="G949" s="292">
        <v>273.1</v>
      </c>
      <c r="H949" s="427">
        <v>3142</v>
      </c>
      <c r="I949" s="307">
        <v>0</v>
      </c>
      <c r="J949" s="307"/>
      <c r="K949" s="307"/>
      <c r="L949" s="49"/>
      <c r="M949" s="307"/>
      <c r="N949" s="407"/>
      <c r="O949" s="307">
        <v>0</v>
      </c>
      <c r="P949" s="407"/>
      <c r="Q949" s="407"/>
      <c r="R949" s="407"/>
      <c r="S949" s="407"/>
      <c r="T949" s="407"/>
      <c r="U949" s="407"/>
      <c r="V949" s="407"/>
      <c r="W949" s="407"/>
      <c r="X949" s="407"/>
      <c r="Y949" s="407"/>
      <c r="Z949" s="307">
        <v>0</v>
      </c>
      <c r="AA949" s="407">
        <f t="shared" si="132"/>
        <v>0</v>
      </c>
      <c r="AC949" s="499"/>
      <c r="AD949" s="512"/>
      <c r="AE949" s="512"/>
      <c r="AF949" s="512"/>
      <c r="AG949" s="507"/>
      <c r="AH949" s="507"/>
    </row>
    <row r="950" spans="1:34" ht="47.25" hidden="1">
      <c r="A950" s="608"/>
      <c r="B950" s="608"/>
      <c r="C950" s="266" t="s">
        <v>314</v>
      </c>
      <c r="D950" s="14" t="s">
        <v>1725</v>
      </c>
      <c r="E950" s="292">
        <v>46.3</v>
      </c>
      <c r="F950" s="143">
        <f t="shared" si="133"/>
        <v>1</v>
      </c>
      <c r="G950" s="292">
        <v>46.3</v>
      </c>
      <c r="H950" s="427">
        <v>3142</v>
      </c>
      <c r="I950" s="307">
        <v>0</v>
      </c>
      <c r="J950" s="307"/>
      <c r="K950" s="307"/>
      <c r="L950" s="49"/>
      <c r="M950" s="307"/>
      <c r="N950" s="407"/>
      <c r="O950" s="307">
        <v>0</v>
      </c>
      <c r="P950" s="407"/>
      <c r="Q950" s="407"/>
      <c r="R950" s="407"/>
      <c r="S950" s="407"/>
      <c r="T950" s="407"/>
      <c r="U950" s="407"/>
      <c r="V950" s="407"/>
      <c r="W950" s="407"/>
      <c r="X950" s="407"/>
      <c r="Y950" s="407"/>
      <c r="Z950" s="307">
        <v>0</v>
      </c>
      <c r="AA950" s="407">
        <f t="shared" si="132"/>
        <v>0</v>
      </c>
      <c r="AC950" s="499"/>
      <c r="AD950" s="512"/>
      <c r="AE950" s="512"/>
      <c r="AF950" s="512"/>
      <c r="AG950" s="507"/>
      <c r="AH950" s="507"/>
    </row>
    <row r="951" spans="1:34" ht="47.25" hidden="1">
      <c r="A951" s="608"/>
      <c r="B951" s="608"/>
      <c r="C951" s="266" t="s">
        <v>1726</v>
      </c>
      <c r="D951" s="14" t="s">
        <v>2073</v>
      </c>
      <c r="E951" s="292">
        <v>530</v>
      </c>
      <c r="F951" s="143">
        <f t="shared" si="133"/>
        <v>1</v>
      </c>
      <c r="G951" s="292">
        <v>530</v>
      </c>
      <c r="H951" s="427">
        <v>3142</v>
      </c>
      <c r="I951" s="307">
        <v>0</v>
      </c>
      <c r="J951" s="307"/>
      <c r="K951" s="307"/>
      <c r="L951" s="90"/>
      <c r="M951" s="307"/>
      <c r="N951" s="407"/>
      <c r="O951" s="307">
        <v>0</v>
      </c>
      <c r="P951" s="407"/>
      <c r="Q951" s="407"/>
      <c r="R951" s="407"/>
      <c r="S951" s="407"/>
      <c r="T951" s="407"/>
      <c r="U951" s="407"/>
      <c r="V951" s="407"/>
      <c r="W951" s="407"/>
      <c r="X951" s="407"/>
      <c r="Y951" s="407"/>
      <c r="Z951" s="307">
        <v>0</v>
      </c>
      <c r="AA951" s="407">
        <f t="shared" si="132"/>
        <v>0</v>
      </c>
      <c r="AC951" s="499"/>
      <c r="AD951" s="512"/>
      <c r="AE951" s="512"/>
      <c r="AF951" s="512"/>
      <c r="AG951" s="507"/>
      <c r="AH951" s="507"/>
    </row>
    <row r="952" spans="1:34" ht="31.5" hidden="1">
      <c r="A952" s="608"/>
      <c r="B952" s="608"/>
      <c r="C952" s="266" t="s">
        <v>2074</v>
      </c>
      <c r="D952" s="14" t="s">
        <v>1601</v>
      </c>
      <c r="E952" s="292">
        <v>5327.07333</v>
      </c>
      <c r="F952" s="143">
        <f t="shared" si="133"/>
        <v>0.215</v>
      </c>
      <c r="G952" s="292">
        <v>1147.01599</v>
      </c>
      <c r="H952" s="427">
        <v>3142</v>
      </c>
      <c r="I952" s="307">
        <v>0</v>
      </c>
      <c r="J952" s="307"/>
      <c r="K952" s="307"/>
      <c r="L952" s="91"/>
      <c r="M952" s="307"/>
      <c r="N952" s="407"/>
      <c r="O952" s="307">
        <v>0</v>
      </c>
      <c r="P952" s="407"/>
      <c r="Q952" s="407"/>
      <c r="R952" s="407"/>
      <c r="S952" s="407"/>
      <c r="T952" s="407"/>
      <c r="U952" s="407"/>
      <c r="V952" s="407"/>
      <c r="W952" s="407"/>
      <c r="X952" s="407"/>
      <c r="Y952" s="407"/>
      <c r="Z952" s="307">
        <v>0</v>
      </c>
      <c r="AA952" s="407">
        <f t="shared" si="132"/>
        <v>0</v>
      </c>
      <c r="AC952" s="499"/>
      <c r="AD952" s="512"/>
      <c r="AE952" s="512"/>
      <c r="AF952" s="512"/>
      <c r="AG952" s="507"/>
      <c r="AH952" s="507"/>
    </row>
    <row r="953" spans="1:34" ht="31.5" hidden="1">
      <c r="A953" s="608"/>
      <c r="B953" s="608"/>
      <c r="C953" s="266" t="s">
        <v>1602</v>
      </c>
      <c r="D953" s="14" t="s">
        <v>73</v>
      </c>
      <c r="E953" s="292">
        <v>5501.8129</v>
      </c>
      <c r="F953" s="143">
        <f t="shared" si="133"/>
        <v>0.603</v>
      </c>
      <c r="G953" s="292">
        <v>3316.7</v>
      </c>
      <c r="H953" s="427">
        <v>3142</v>
      </c>
      <c r="I953" s="307">
        <v>0</v>
      </c>
      <c r="J953" s="307"/>
      <c r="K953" s="307"/>
      <c r="L953" s="91"/>
      <c r="M953" s="307"/>
      <c r="N953" s="407"/>
      <c r="O953" s="307">
        <v>0</v>
      </c>
      <c r="P953" s="407"/>
      <c r="Q953" s="407"/>
      <c r="R953" s="407"/>
      <c r="S953" s="407"/>
      <c r="T953" s="407"/>
      <c r="U953" s="407"/>
      <c r="V953" s="407"/>
      <c r="W953" s="407"/>
      <c r="X953" s="407"/>
      <c r="Y953" s="407"/>
      <c r="Z953" s="307">
        <v>0</v>
      </c>
      <c r="AA953" s="407">
        <f t="shared" si="132"/>
        <v>0</v>
      </c>
      <c r="AC953" s="499"/>
      <c r="AD953" s="512"/>
      <c r="AE953" s="512"/>
      <c r="AF953" s="512"/>
      <c r="AG953" s="507"/>
      <c r="AH953" s="507"/>
    </row>
    <row r="954" spans="1:34" ht="31.5" hidden="1">
      <c r="A954" s="608"/>
      <c r="B954" s="608"/>
      <c r="C954" s="266" t="s">
        <v>74</v>
      </c>
      <c r="D954" s="14" t="s">
        <v>1829</v>
      </c>
      <c r="E954" s="292">
        <v>22881.33663</v>
      </c>
      <c r="F954" s="143">
        <f t="shared" si="133"/>
        <v>0.36</v>
      </c>
      <c r="G954" s="292">
        <v>8232.74167</v>
      </c>
      <c r="H954" s="427">
        <v>3142</v>
      </c>
      <c r="I954" s="307">
        <v>0</v>
      </c>
      <c r="J954" s="307"/>
      <c r="K954" s="307"/>
      <c r="L954" s="91"/>
      <c r="M954" s="307"/>
      <c r="N954" s="407"/>
      <c r="O954" s="307">
        <v>0</v>
      </c>
      <c r="P954" s="407"/>
      <c r="Q954" s="407"/>
      <c r="R954" s="407"/>
      <c r="S954" s="407"/>
      <c r="T954" s="407"/>
      <c r="U954" s="407"/>
      <c r="V954" s="407"/>
      <c r="W954" s="407"/>
      <c r="X954" s="407"/>
      <c r="Y954" s="407"/>
      <c r="Z954" s="307">
        <v>0</v>
      </c>
      <c r="AA954" s="407">
        <f t="shared" si="132"/>
        <v>0</v>
      </c>
      <c r="AC954" s="499"/>
      <c r="AD954" s="512"/>
      <c r="AE954" s="512"/>
      <c r="AF954" s="512"/>
      <c r="AG954" s="507"/>
      <c r="AH954" s="507"/>
    </row>
    <row r="955" spans="1:34" ht="15.75" hidden="1">
      <c r="A955" s="608"/>
      <c r="B955" s="608"/>
      <c r="C955" s="266"/>
      <c r="D955" s="14"/>
      <c r="E955" s="292"/>
      <c r="F955" s="143"/>
      <c r="G955" s="292"/>
      <c r="H955" s="427">
        <v>3142</v>
      </c>
      <c r="I955" s="307"/>
      <c r="J955" s="307"/>
      <c r="K955" s="307"/>
      <c r="L955" s="91"/>
      <c r="M955" s="307"/>
      <c r="N955" s="407"/>
      <c r="O955" s="307"/>
      <c r="P955" s="407"/>
      <c r="Q955" s="407"/>
      <c r="R955" s="407"/>
      <c r="S955" s="407"/>
      <c r="T955" s="407"/>
      <c r="U955" s="407"/>
      <c r="V955" s="407"/>
      <c r="W955" s="407"/>
      <c r="X955" s="407"/>
      <c r="Y955" s="407"/>
      <c r="Z955" s="307"/>
      <c r="AA955" s="407">
        <f t="shared" si="132"/>
        <v>0</v>
      </c>
      <c r="AC955" s="499"/>
      <c r="AD955" s="512"/>
      <c r="AE955" s="512"/>
      <c r="AF955" s="512"/>
      <c r="AG955" s="507"/>
      <c r="AH955" s="507"/>
    </row>
    <row r="956" spans="1:34" ht="47.25">
      <c r="A956" s="608"/>
      <c r="B956" s="608"/>
      <c r="C956" s="266" t="s">
        <v>1830</v>
      </c>
      <c r="D956" s="14" t="s">
        <v>1831</v>
      </c>
      <c r="E956" s="292">
        <v>8073.9099</v>
      </c>
      <c r="F956" s="143">
        <f aca="true" t="shared" si="134" ref="F956:F965">100%-((E956-G956)/E956)</f>
        <v>0.534</v>
      </c>
      <c r="G956" s="292">
        <v>4309.89012</v>
      </c>
      <c r="H956" s="427">
        <v>3142</v>
      </c>
      <c r="I956" s="307">
        <v>84.37</v>
      </c>
      <c r="J956" s="307"/>
      <c r="K956" s="307"/>
      <c r="L956" s="91">
        <v>84.37</v>
      </c>
      <c r="M956" s="307"/>
      <c r="N956" s="407"/>
      <c r="O956" s="307">
        <v>84.37</v>
      </c>
      <c r="P956" s="407"/>
      <c r="Q956" s="407"/>
      <c r="R956" s="407"/>
      <c r="S956" s="407"/>
      <c r="T956" s="407"/>
      <c r="U956" s="407"/>
      <c r="V956" s="407"/>
      <c r="W956" s="407"/>
      <c r="X956" s="407"/>
      <c r="Y956" s="407"/>
      <c r="Z956" s="307">
        <v>84.37</v>
      </c>
      <c r="AA956" s="407">
        <f t="shared" si="132"/>
        <v>0</v>
      </c>
      <c r="AC956" s="499"/>
      <c r="AD956" s="512">
        <v>84.37</v>
      </c>
      <c r="AE956" s="512"/>
      <c r="AF956" s="512" t="s">
        <v>726</v>
      </c>
      <c r="AG956" s="507"/>
      <c r="AH956" s="507"/>
    </row>
    <row r="957" spans="1:34" ht="31.5" hidden="1">
      <c r="A957" s="608"/>
      <c r="B957" s="608"/>
      <c r="C957" s="266" t="s">
        <v>1832</v>
      </c>
      <c r="D957" s="14" t="s">
        <v>63</v>
      </c>
      <c r="E957" s="292">
        <v>10576.67791</v>
      </c>
      <c r="F957" s="143">
        <f t="shared" si="134"/>
        <v>0.484</v>
      </c>
      <c r="G957" s="292">
        <v>5119.57061</v>
      </c>
      <c r="H957" s="427">
        <v>3142</v>
      </c>
      <c r="I957" s="307">
        <v>0</v>
      </c>
      <c r="J957" s="307"/>
      <c r="K957" s="473"/>
      <c r="L957" s="92"/>
      <c r="M957" s="307"/>
      <c r="N957" s="407"/>
      <c r="O957" s="307">
        <v>0</v>
      </c>
      <c r="P957" s="407"/>
      <c r="Q957" s="407"/>
      <c r="R957" s="407"/>
      <c r="S957" s="407"/>
      <c r="T957" s="407"/>
      <c r="U957" s="407"/>
      <c r="V957" s="407"/>
      <c r="W957" s="407"/>
      <c r="X957" s="407"/>
      <c r="Y957" s="407"/>
      <c r="Z957" s="307">
        <v>0</v>
      </c>
      <c r="AA957" s="407">
        <f t="shared" si="132"/>
        <v>0</v>
      </c>
      <c r="AC957" s="499"/>
      <c r="AD957" s="512"/>
      <c r="AE957" s="512"/>
      <c r="AF957" s="512"/>
      <c r="AG957" s="507"/>
      <c r="AH957" s="507"/>
    </row>
    <row r="958" spans="1:34" ht="31.5" hidden="1">
      <c r="A958" s="608"/>
      <c r="B958" s="608"/>
      <c r="C958" s="266" t="s">
        <v>64</v>
      </c>
      <c r="D958" s="14" t="s">
        <v>1733</v>
      </c>
      <c r="E958" s="292">
        <v>12351.1497</v>
      </c>
      <c r="F958" s="143">
        <f t="shared" si="134"/>
        <v>0.231</v>
      </c>
      <c r="G958" s="292">
        <v>2852.02184</v>
      </c>
      <c r="H958" s="427">
        <v>3142</v>
      </c>
      <c r="I958" s="307">
        <v>0</v>
      </c>
      <c r="J958" s="307"/>
      <c r="K958" s="307"/>
      <c r="L958" s="49"/>
      <c r="M958" s="307"/>
      <c r="N958" s="407"/>
      <c r="O958" s="307">
        <v>0</v>
      </c>
      <c r="P958" s="407"/>
      <c r="Q958" s="407"/>
      <c r="R958" s="407"/>
      <c r="S958" s="407"/>
      <c r="T958" s="407"/>
      <c r="U958" s="407"/>
      <c r="V958" s="407"/>
      <c r="W958" s="407"/>
      <c r="X958" s="407"/>
      <c r="Y958" s="407"/>
      <c r="Z958" s="307">
        <v>0</v>
      </c>
      <c r="AA958" s="407">
        <f t="shared" si="132"/>
        <v>0</v>
      </c>
      <c r="AC958" s="499"/>
      <c r="AD958" s="512"/>
      <c r="AE958" s="512"/>
      <c r="AF958" s="512"/>
      <c r="AG958" s="507"/>
      <c r="AH958" s="507"/>
    </row>
    <row r="959" spans="1:34" ht="31.5" customHeight="1" hidden="1">
      <c r="A959" s="608"/>
      <c r="B959" s="608"/>
      <c r="C959" s="266" t="s">
        <v>1734</v>
      </c>
      <c r="D959" s="14" t="s">
        <v>1735</v>
      </c>
      <c r="E959" s="292">
        <v>1800</v>
      </c>
      <c r="F959" s="143">
        <f t="shared" si="134"/>
        <v>1</v>
      </c>
      <c r="G959" s="292">
        <v>1800</v>
      </c>
      <c r="H959" s="427">
        <v>3142</v>
      </c>
      <c r="I959" s="307">
        <v>0</v>
      </c>
      <c r="J959" s="307"/>
      <c r="K959" s="307"/>
      <c r="L959" s="49"/>
      <c r="M959" s="307"/>
      <c r="N959" s="407"/>
      <c r="O959" s="307">
        <v>0</v>
      </c>
      <c r="P959" s="407"/>
      <c r="Q959" s="407"/>
      <c r="R959" s="407"/>
      <c r="S959" s="407"/>
      <c r="T959" s="407"/>
      <c r="U959" s="407"/>
      <c r="V959" s="407"/>
      <c r="W959" s="407"/>
      <c r="X959" s="407"/>
      <c r="Y959" s="407"/>
      <c r="Z959" s="307">
        <v>0</v>
      </c>
      <c r="AA959" s="407">
        <f t="shared" si="132"/>
        <v>0</v>
      </c>
      <c r="AC959" s="499"/>
      <c r="AD959" s="512"/>
      <c r="AE959" s="512"/>
      <c r="AF959" s="512"/>
      <c r="AG959" s="507"/>
      <c r="AH959" s="507"/>
    </row>
    <row r="960" spans="1:34" ht="63">
      <c r="A960" s="608"/>
      <c r="B960" s="608"/>
      <c r="C960" s="266" t="s">
        <v>1736</v>
      </c>
      <c r="D960" s="14" t="s">
        <v>834</v>
      </c>
      <c r="E960" s="292">
        <v>999</v>
      </c>
      <c r="F960" s="143">
        <f t="shared" si="134"/>
        <v>1</v>
      </c>
      <c r="G960" s="292">
        <v>999</v>
      </c>
      <c r="H960" s="427">
        <v>3142</v>
      </c>
      <c r="I960" s="307">
        <v>1863.55</v>
      </c>
      <c r="J960" s="307"/>
      <c r="K960" s="307"/>
      <c r="L960" s="49">
        <v>1863.55</v>
      </c>
      <c r="M960" s="307"/>
      <c r="N960" s="407"/>
      <c r="O960" s="307">
        <v>1863.55</v>
      </c>
      <c r="P960" s="407"/>
      <c r="Q960" s="407"/>
      <c r="R960" s="407"/>
      <c r="S960" s="407"/>
      <c r="T960" s="407"/>
      <c r="U960" s="407"/>
      <c r="V960" s="407"/>
      <c r="W960" s="407"/>
      <c r="X960" s="407"/>
      <c r="Y960" s="407"/>
      <c r="Z960" s="307">
        <v>1863.55</v>
      </c>
      <c r="AA960" s="407">
        <f t="shared" si="132"/>
        <v>0</v>
      </c>
      <c r="AC960" s="499"/>
      <c r="AD960" s="512">
        <v>1863.55</v>
      </c>
      <c r="AE960" s="512"/>
      <c r="AF960" s="512" t="s">
        <v>727</v>
      </c>
      <c r="AG960" s="507"/>
      <c r="AH960" s="507"/>
    </row>
    <row r="961" spans="1:34" ht="15.75" hidden="1">
      <c r="A961" s="608"/>
      <c r="B961" s="608"/>
      <c r="C961" s="266" t="s">
        <v>835</v>
      </c>
      <c r="D961" s="14" t="s">
        <v>1239</v>
      </c>
      <c r="E961" s="292">
        <v>50</v>
      </c>
      <c r="F961" s="143">
        <f t="shared" si="134"/>
        <v>1</v>
      </c>
      <c r="G961" s="292">
        <v>50</v>
      </c>
      <c r="H961" s="427">
        <v>3142</v>
      </c>
      <c r="I961" s="307">
        <v>0</v>
      </c>
      <c r="J961" s="307"/>
      <c r="K961" s="307"/>
      <c r="L961" s="49"/>
      <c r="M961" s="307"/>
      <c r="N961" s="407"/>
      <c r="O961" s="307">
        <v>0</v>
      </c>
      <c r="P961" s="407"/>
      <c r="Q961" s="407"/>
      <c r="R961" s="407"/>
      <c r="S961" s="407"/>
      <c r="T961" s="407"/>
      <c r="U961" s="407"/>
      <c r="V961" s="407"/>
      <c r="W961" s="407"/>
      <c r="X961" s="407"/>
      <c r="Y961" s="407"/>
      <c r="Z961" s="307">
        <v>0</v>
      </c>
      <c r="AA961" s="407">
        <f t="shared" si="132"/>
        <v>0</v>
      </c>
      <c r="AC961" s="499"/>
      <c r="AD961" s="512"/>
      <c r="AE961" s="512"/>
      <c r="AF961" s="512"/>
      <c r="AG961" s="507"/>
      <c r="AH961" s="507"/>
    </row>
    <row r="962" spans="1:34" ht="15.75" hidden="1">
      <c r="A962" s="608"/>
      <c r="B962" s="608"/>
      <c r="C962" s="266" t="s">
        <v>1240</v>
      </c>
      <c r="D962" s="14" t="s">
        <v>1241</v>
      </c>
      <c r="E962" s="292">
        <v>50</v>
      </c>
      <c r="F962" s="143">
        <f t="shared" si="134"/>
        <v>1</v>
      </c>
      <c r="G962" s="292">
        <v>50</v>
      </c>
      <c r="H962" s="427">
        <v>3142</v>
      </c>
      <c r="I962" s="307">
        <v>0</v>
      </c>
      <c r="J962" s="307"/>
      <c r="K962" s="307"/>
      <c r="L962" s="49"/>
      <c r="M962" s="307"/>
      <c r="N962" s="407"/>
      <c r="O962" s="307">
        <v>0</v>
      </c>
      <c r="P962" s="407"/>
      <c r="Q962" s="407"/>
      <c r="R962" s="407"/>
      <c r="S962" s="407"/>
      <c r="T962" s="407"/>
      <c r="U962" s="407"/>
      <c r="V962" s="407"/>
      <c r="W962" s="407"/>
      <c r="X962" s="407"/>
      <c r="Y962" s="407"/>
      <c r="Z962" s="307">
        <v>0</v>
      </c>
      <c r="AA962" s="407">
        <f t="shared" si="132"/>
        <v>0</v>
      </c>
      <c r="AC962" s="499"/>
      <c r="AD962" s="512"/>
      <c r="AE962" s="512"/>
      <c r="AF962" s="512"/>
      <c r="AG962" s="507"/>
      <c r="AH962" s="507"/>
    </row>
    <row r="963" spans="1:34" ht="15.75" hidden="1">
      <c r="A963" s="608"/>
      <c r="B963" s="608"/>
      <c r="C963" s="266" t="s">
        <v>1242</v>
      </c>
      <c r="D963" s="14" t="s">
        <v>1243</v>
      </c>
      <c r="E963" s="292">
        <v>50</v>
      </c>
      <c r="F963" s="143">
        <f t="shared" si="134"/>
        <v>1</v>
      </c>
      <c r="G963" s="292">
        <v>50</v>
      </c>
      <c r="H963" s="427">
        <v>3142</v>
      </c>
      <c r="I963" s="307">
        <v>0</v>
      </c>
      <c r="J963" s="307"/>
      <c r="K963" s="307"/>
      <c r="L963" s="49"/>
      <c r="M963" s="307"/>
      <c r="N963" s="407"/>
      <c r="O963" s="307">
        <v>0</v>
      </c>
      <c r="P963" s="407"/>
      <c r="Q963" s="407"/>
      <c r="R963" s="407"/>
      <c r="S963" s="407"/>
      <c r="T963" s="407"/>
      <c r="U963" s="407"/>
      <c r="V963" s="407"/>
      <c r="W963" s="407"/>
      <c r="X963" s="407"/>
      <c r="Y963" s="407"/>
      <c r="Z963" s="307">
        <v>0</v>
      </c>
      <c r="AA963" s="407">
        <f t="shared" si="132"/>
        <v>0</v>
      </c>
      <c r="AC963" s="499"/>
      <c r="AD963" s="512"/>
      <c r="AE963" s="512"/>
      <c r="AF963" s="512"/>
      <c r="AG963" s="507"/>
      <c r="AH963" s="507"/>
    </row>
    <row r="964" spans="1:34" ht="15.75" hidden="1">
      <c r="A964" s="608"/>
      <c r="B964" s="608"/>
      <c r="C964" s="266" t="s">
        <v>1244</v>
      </c>
      <c r="D964" s="14" t="s">
        <v>2021</v>
      </c>
      <c r="E964" s="292">
        <v>50</v>
      </c>
      <c r="F964" s="143">
        <f t="shared" si="134"/>
        <v>1</v>
      </c>
      <c r="G964" s="292">
        <v>50</v>
      </c>
      <c r="H964" s="427">
        <v>3142</v>
      </c>
      <c r="I964" s="307">
        <v>0</v>
      </c>
      <c r="J964" s="307"/>
      <c r="K964" s="307"/>
      <c r="L964" s="49"/>
      <c r="M964" s="307"/>
      <c r="N964" s="407"/>
      <c r="O964" s="307">
        <v>0</v>
      </c>
      <c r="P964" s="407"/>
      <c r="Q964" s="407"/>
      <c r="R964" s="407"/>
      <c r="S964" s="407"/>
      <c r="T964" s="407"/>
      <c r="U964" s="407"/>
      <c r="V964" s="407"/>
      <c r="W964" s="407"/>
      <c r="X964" s="407"/>
      <c r="Y964" s="407"/>
      <c r="Z964" s="307">
        <v>0</v>
      </c>
      <c r="AA964" s="407">
        <f t="shared" si="132"/>
        <v>0</v>
      </c>
      <c r="AC964" s="499"/>
      <c r="AD964" s="512"/>
      <c r="AE964" s="512"/>
      <c r="AF964" s="512"/>
      <c r="AG964" s="507"/>
      <c r="AH964" s="507"/>
    </row>
    <row r="965" spans="1:34" ht="31.5" hidden="1">
      <c r="A965" s="608"/>
      <c r="B965" s="608"/>
      <c r="C965" s="306" t="s">
        <v>2022</v>
      </c>
      <c r="D965" s="14" t="s">
        <v>2023</v>
      </c>
      <c r="E965" s="292">
        <v>999</v>
      </c>
      <c r="F965" s="143">
        <f t="shared" si="134"/>
        <v>1</v>
      </c>
      <c r="G965" s="292">
        <v>999</v>
      </c>
      <c r="H965" s="427">
        <v>3142</v>
      </c>
      <c r="I965" s="307">
        <v>0</v>
      </c>
      <c r="J965" s="307"/>
      <c r="K965" s="307"/>
      <c r="L965" s="307"/>
      <c r="M965" s="307"/>
      <c r="N965" s="407"/>
      <c r="O965" s="307">
        <v>0</v>
      </c>
      <c r="P965" s="407"/>
      <c r="Q965" s="407"/>
      <c r="R965" s="407"/>
      <c r="S965" s="407"/>
      <c r="T965" s="407"/>
      <c r="U965" s="407"/>
      <c r="V965" s="407"/>
      <c r="W965" s="407"/>
      <c r="X965" s="407"/>
      <c r="Y965" s="407"/>
      <c r="Z965" s="307">
        <v>0</v>
      </c>
      <c r="AA965" s="407">
        <f t="shared" si="132"/>
        <v>0</v>
      </c>
      <c r="AC965" s="499"/>
      <c r="AD965" s="512"/>
      <c r="AE965" s="512"/>
      <c r="AF965" s="512"/>
      <c r="AG965" s="507"/>
      <c r="AH965" s="507"/>
    </row>
    <row r="966" spans="1:34" ht="15.75" customHeight="1" hidden="1">
      <c r="A966" s="608"/>
      <c r="B966" s="608"/>
      <c r="C966" s="306"/>
      <c r="D966" s="93"/>
      <c r="E966" s="292"/>
      <c r="F966" s="143"/>
      <c r="G966" s="292"/>
      <c r="H966" s="427">
        <v>3142</v>
      </c>
      <c r="I966" s="319"/>
      <c r="J966" s="307"/>
      <c r="K966" s="307"/>
      <c r="L966" s="307"/>
      <c r="M966" s="307"/>
      <c r="N966" s="407"/>
      <c r="O966" s="319"/>
      <c r="P966" s="407"/>
      <c r="Q966" s="407"/>
      <c r="R966" s="407"/>
      <c r="S966" s="407"/>
      <c r="T966" s="407"/>
      <c r="U966" s="407"/>
      <c r="V966" s="407"/>
      <c r="W966" s="407"/>
      <c r="X966" s="407"/>
      <c r="Y966" s="407"/>
      <c r="Z966" s="319"/>
      <c r="AA966" s="407">
        <f t="shared" si="132"/>
        <v>0</v>
      </c>
      <c r="AC966" s="499"/>
      <c r="AD966" s="512"/>
      <c r="AE966" s="512"/>
      <c r="AF966" s="512"/>
      <c r="AG966" s="507"/>
      <c r="AH966" s="507"/>
    </row>
    <row r="967" spans="1:34" ht="15.75" hidden="1">
      <c r="A967" s="608"/>
      <c r="B967" s="608"/>
      <c r="C967" s="306" t="s">
        <v>2024</v>
      </c>
      <c r="D967" s="14" t="s">
        <v>677</v>
      </c>
      <c r="E967" s="292">
        <v>12333.494</v>
      </c>
      <c r="F967" s="143">
        <f>100%-((E967-G967)/E967)</f>
        <v>0.421</v>
      </c>
      <c r="G967" s="292">
        <v>5198.407</v>
      </c>
      <c r="H967" s="427">
        <v>3142</v>
      </c>
      <c r="I967" s="307">
        <v>0</v>
      </c>
      <c r="J967" s="307"/>
      <c r="K967" s="307"/>
      <c r="L967" s="307"/>
      <c r="M967" s="307"/>
      <c r="N967" s="407"/>
      <c r="O967" s="307">
        <v>0</v>
      </c>
      <c r="P967" s="407"/>
      <c r="Q967" s="407"/>
      <c r="R967" s="407"/>
      <c r="S967" s="407"/>
      <c r="T967" s="407"/>
      <c r="U967" s="407"/>
      <c r="V967" s="407"/>
      <c r="W967" s="407"/>
      <c r="X967" s="407"/>
      <c r="Y967" s="407"/>
      <c r="Z967" s="307">
        <v>0</v>
      </c>
      <c r="AA967" s="407">
        <f t="shared" si="132"/>
        <v>0</v>
      </c>
      <c r="AC967" s="499"/>
      <c r="AD967" s="512"/>
      <c r="AE967" s="512"/>
      <c r="AF967" s="512"/>
      <c r="AG967" s="507"/>
      <c r="AH967" s="507"/>
    </row>
    <row r="968" spans="1:34" ht="31.5" customHeight="1" hidden="1">
      <c r="A968" s="608"/>
      <c r="B968" s="608"/>
      <c r="C968" s="306"/>
      <c r="D968" s="14" t="s">
        <v>1563</v>
      </c>
      <c r="E968" s="292"/>
      <c r="F968" s="143" t="e">
        <f>100%-((E968-G968)/E968)</f>
        <v>#DIV/0!</v>
      </c>
      <c r="G968" s="292"/>
      <c r="H968" s="427">
        <v>3142</v>
      </c>
      <c r="I968" s="307">
        <v>0</v>
      </c>
      <c r="J968" s="307"/>
      <c r="K968" s="307"/>
      <c r="L968" s="307"/>
      <c r="M968" s="307"/>
      <c r="N968" s="407"/>
      <c r="O968" s="307">
        <v>0</v>
      </c>
      <c r="P968" s="407"/>
      <c r="Q968" s="407"/>
      <c r="R968" s="407"/>
      <c r="S968" s="407"/>
      <c r="T968" s="407"/>
      <c r="U968" s="407"/>
      <c r="V968" s="407"/>
      <c r="W968" s="407"/>
      <c r="X968" s="407"/>
      <c r="Y968" s="407"/>
      <c r="Z968" s="307">
        <v>0</v>
      </c>
      <c r="AA968" s="407">
        <f t="shared" si="132"/>
        <v>0</v>
      </c>
      <c r="AC968" s="499"/>
      <c r="AD968" s="512"/>
      <c r="AE968" s="512"/>
      <c r="AF968" s="512"/>
      <c r="AG968" s="507"/>
      <c r="AH968" s="507"/>
    </row>
    <row r="969" spans="1:34" ht="31.5" hidden="1">
      <c r="A969" s="608"/>
      <c r="B969" s="608"/>
      <c r="C969" s="306" t="s">
        <v>1564</v>
      </c>
      <c r="D969" s="14" t="s">
        <v>1565</v>
      </c>
      <c r="E969" s="292">
        <v>250</v>
      </c>
      <c r="F969" s="143">
        <f>100%-((E969-G969)/E969)</f>
        <v>1</v>
      </c>
      <c r="G969" s="292">
        <v>250</v>
      </c>
      <c r="H969" s="427">
        <v>3142</v>
      </c>
      <c r="I969" s="307">
        <v>0</v>
      </c>
      <c r="J969" s="307"/>
      <c r="K969" s="307"/>
      <c r="L969" s="307"/>
      <c r="M969" s="307"/>
      <c r="N969" s="407"/>
      <c r="O969" s="307">
        <v>0</v>
      </c>
      <c r="P969" s="407"/>
      <c r="Q969" s="407"/>
      <c r="R969" s="407"/>
      <c r="S969" s="407"/>
      <c r="T969" s="407"/>
      <c r="U969" s="407"/>
      <c r="V969" s="407"/>
      <c r="W969" s="407"/>
      <c r="X969" s="407"/>
      <c r="Y969" s="407"/>
      <c r="Z969" s="307">
        <v>0</v>
      </c>
      <c r="AA969" s="407">
        <f t="shared" si="132"/>
        <v>0</v>
      </c>
      <c r="AC969" s="499"/>
      <c r="AD969" s="512"/>
      <c r="AE969" s="512"/>
      <c r="AF969" s="512"/>
      <c r="AG969" s="507"/>
      <c r="AH969" s="507"/>
    </row>
    <row r="970" spans="1:34" ht="47.25">
      <c r="A970" s="608"/>
      <c r="B970" s="608"/>
      <c r="C970" s="306"/>
      <c r="D970" s="14" t="s">
        <v>1898</v>
      </c>
      <c r="E970" s="292">
        <v>19.5</v>
      </c>
      <c r="F970" s="143">
        <f>100%-((E970-G970)/E970)</f>
        <v>1</v>
      </c>
      <c r="G970" s="292">
        <v>19.5</v>
      </c>
      <c r="H970" s="427">
        <v>3122</v>
      </c>
      <c r="I970" s="307">
        <v>19487.86</v>
      </c>
      <c r="J970" s="307"/>
      <c r="K970" s="307"/>
      <c r="L970" s="307">
        <v>19487.86</v>
      </c>
      <c r="M970" s="307"/>
      <c r="N970" s="407"/>
      <c r="O970" s="307">
        <v>19487.86</v>
      </c>
      <c r="P970" s="407"/>
      <c r="Q970" s="407"/>
      <c r="R970" s="407"/>
      <c r="S970" s="407"/>
      <c r="T970" s="407"/>
      <c r="U970" s="407"/>
      <c r="V970" s="407"/>
      <c r="W970" s="407"/>
      <c r="X970" s="407"/>
      <c r="Y970" s="407"/>
      <c r="Z970" s="307">
        <v>19487.86</v>
      </c>
      <c r="AA970" s="407">
        <f t="shared" si="132"/>
        <v>0</v>
      </c>
      <c r="AC970" s="499"/>
      <c r="AD970" s="512">
        <v>19487.86</v>
      </c>
      <c r="AE970" s="512"/>
      <c r="AF970" s="512" t="s">
        <v>728</v>
      </c>
      <c r="AG970" s="507"/>
      <c r="AH970" s="507"/>
    </row>
    <row r="971" spans="1:34" ht="47.25" hidden="1">
      <c r="A971" s="608"/>
      <c r="B971" s="608"/>
      <c r="C971" s="306"/>
      <c r="D971" s="14" t="s">
        <v>207</v>
      </c>
      <c r="E971" s="292"/>
      <c r="F971" s="143"/>
      <c r="G971" s="292"/>
      <c r="H971" s="427"/>
      <c r="I971" s="307">
        <v>0</v>
      </c>
      <c r="J971" s="307"/>
      <c r="K971" s="307"/>
      <c r="L971" s="307"/>
      <c r="M971" s="307"/>
      <c r="N971" s="407"/>
      <c r="O971" s="307">
        <v>0</v>
      </c>
      <c r="P971" s="407"/>
      <c r="Q971" s="407"/>
      <c r="R971" s="407"/>
      <c r="S971" s="407"/>
      <c r="T971" s="407"/>
      <c r="U971" s="407"/>
      <c r="V971" s="407"/>
      <c r="W971" s="407"/>
      <c r="X971" s="407"/>
      <c r="Y971" s="407"/>
      <c r="Z971" s="307">
        <v>0</v>
      </c>
      <c r="AA971" s="407">
        <f t="shared" si="132"/>
        <v>0</v>
      </c>
      <c r="AC971" s="499"/>
      <c r="AD971" s="512"/>
      <c r="AE971" s="512"/>
      <c r="AF971" s="512"/>
      <c r="AG971" s="507"/>
      <c r="AH971" s="507"/>
    </row>
    <row r="972" spans="1:34" ht="66" customHeight="1">
      <c r="A972" s="608"/>
      <c r="B972" s="608"/>
      <c r="C972" s="306"/>
      <c r="D972" s="14" t="s">
        <v>1428</v>
      </c>
      <c r="E972" s="292">
        <v>77</v>
      </c>
      <c r="F972" s="143">
        <f>100%-((E972-G972)/E972)</f>
        <v>1</v>
      </c>
      <c r="G972" s="292">
        <v>77</v>
      </c>
      <c r="H972" s="427">
        <v>3122</v>
      </c>
      <c r="I972" s="307">
        <v>10257.14</v>
      </c>
      <c r="J972" s="307"/>
      <c r="K972" s="307"/>
      <c r="L972" s="307">
        <v>10257.14</v>
      </c>
      <c r="M972" s="307"/>
      <c r="N972" s="407"/>
      <c r="O972" s="307">
        <v>10257.14</v>
      </c>
      <c r="P972" s="407"/>
      <c r="Q972" s="407"/>
      <c r="R972" s="407"/>
      <c r="S972" s="407"/>
      <c r="T972" s="407"/>
      <c r="U972" s="407"/>
      <c r="V972" s="407"/>
      <c r="W972" s="407"/>
      <c r="X972" s="407"/>
      <c r="Y972" s="407"/>
      <c r="Z972" s="307">
        <v>10257.14</v>
      </c>
      <c r="AA972" s="407">
        <f t="shared" si="132"/>
        <v>0</v>
      </c>
      <c r="AC972" s="499"/>
      <c r="AD972" s="512">
        <v>10257.14</v>
      </c>
      <c r="AE972" s="512"/>
      <c r="AF972" s="512" t="s">
        <v>729</v>
      </c>
      <c r="AG972" s="507"/>
      <c r="AH972" s="507"/>
    </row>
    <row r="973" spans="1:34" ht="66" customHeight="1">
      <c r="A973" s="608"/>
      <c r="B973" s="608"/>
      <c r="C973" s="306"/>
      <c r="D973" s="14" t="s">
        <v>2122</v>
      </c>
      <c r="E973" s="292"/>
      <c r="F973" s="143"/>
      <c r="G973" s="292"/>
      <c r="H973" s="427">
        <v>3142</v>
      </c>
      <c r="I973" s="307">
        <v>10000</v>
      </c>
      <c r="J973" s="307"/>
      <c r="K973" s="307"/>
      <c r="L973" s="307"/>
      <c r="M973" s="307"/>
      <c r="N973" s="407"/>
      <c r="O973" s="307"/>
      <c r="P973" s="407"/>
      <c r="Q973" s="407"/>
      <c r="R973" s="407"/>
      <c r="S973" s="407"/>
      <c r="T973" s="407"/>
      <c r="U973" s="407"/>
      <c r="V973" s="407"/>
      <c r="W973" s="407"/>
      <c r="X973" s="407">
        <v>10000</v>
      </c>
      <c r="Y973" s="407"/>
      <c r="Z973" s="307"/>
      <c r="AA973" s="407">
        <f t="shared" si="132"/>
        <v>10000</v>
      </c>
      <c r="AC973" s="499"/>
      <c r="AD973" s="512"/>
      <c r="AE973" s="512"/>
      <c r="AF973" s="512"/>
      <c r="AG973" s="507"/>
      <c r="AH973" s="507"/>
    </row>
    <row r="974" spans="1:34" ht="66" customHeight="1">
      <c r="A974" s="608"/>
      <c r="B974" s="608"/>
      <c r="C974" s="306"/>
      <c r="D974" s="14" t="s">
        <v>2121</v>
      </c>
      <c r="E974" s="292"/>
      <c r="F974" s="143"/>
      <c r="G974" s="292"/>
      <c r="H974" s="427">
        <v>3142</v>
      </c>
      <c r="I974" s="307">
        <v>300000</v>
      </c>
      <c r="J974" s="307"/>
      <c r="K974" s="307"/>
      <c r="L974" s="307"/>
      <c r="M974" s="307"/>
      <c r="N974" s="407"/>
      <c r="O974" s="307"/>
      <c r="P974" s="407"/>
      <c r="Q974" s="407"/>
      <c r="R974" s="407"/>
      <c r="S974" s="407"/>
      <c r="T974" s="407"/>
      <c r="U974" s="407"/>
      <c r="V974" s="407"/>
      <c r="W974" s="407"/>
      <c r="X974" s="407">
        <v>300000</v>
      </c>
      <c r="Y974" s="407"/>
      <c r="Z974" s="307"/>
      <c r="AA974" s="407">
        <f t="shared" si="132"/>
        <v>300000</v>
      </c>
      <c r="AC974" s="499"/>
      <c r="AD974" s="512"/>
      <c r="AE974" s="512"/>
      <c r="AF974" s="512"/>
      <c r="AG974" s="507"/>
      <c r="AH974" s="507"/>
    </row>
    <row r="975" spans="1:34" s="362" customFormat="1" ht="15.75">
      <c r="A975" s="608"/>
      <c r="B975" s="608"/>
      <c r="C975" s="306"/>
      <c r="D975" s="1" t="s">
        <v>411</v>
      </c>
      <c r="E975" s="292"/>
      <c r="F975" s="143"/>
      <c r="G975" s="292"/>
      <c r="H975" s="427">
        <v>3142</v>
      </c>
      <c r="I975" s="307">
        <f>1000000-500000</f>
        <v>500000</v>
      </c>
      <c r="J975" s="307"/>
      <c r="K975" s="307"/>
      <c r="L975" s="76"/>
      <c r="M975" s="76">
        <v>1000000</v>
      </c>
      <c r="N975" s="407"/>
      <c r="O975" s="407"/>
      <c r="P975" s="407"/>
      <c r="Q975" s="407"/>
      <c r="R975" s="407">
        <v>50000</v>
      </c>
      <c r="S975" s="407">
        <v>50000</v>
      </c>
      <c r="T975" s="407">
        <f>450000-450000</f>
        <v>0</v>
      </c>
      <c r="U975" s="407">
        <f>450000-450000</f>
        <v>0</v>
      </c>
      <c r="V975" s="407"/>
      <c r="W975" s="407"/>
      <c r="X975" s="407">
        <f>900000-500000</f>
        <v>400000</v>
      </c>
      <c r="Y975" s="407"/>
      <c r="Z975" s="407"/>
      <c r="AA975" s="407">
        <f t="shared" si="132"/>
        <v>500000</v>
      </c>
      <c r="AC975" s="501"/>
      <c r="AD975" s="512">
        <v>1000000</v>
      </c>
      <c r="AE975" s="512"/>
      <c r="AF975" s="512"/>
      <c r="AG975" s="507"/>
      <c r="AH975" s="507"/>
    </row>
    <row r="976" spans="1:34" s="362" customFormat="1" ht="31.5">
      <c r="A976" s="608"/>
      <c r="B976" s="608"/>
      <c r="C976" s="306"/>
      <c r="D976" s="1" t="s">
        <v>619</v>
      </c>
      <c r="E976" s="292"/>
      <c r="F976" s="143"/>
      <c r="G976" s="292"/>
      <c r="H976" s="427">
        <v>3142</v>
      </c>
      <c r="I976" s="307">
        <v>65000</v>
      </c>
      <c r="J976" s="307"/>
      <c r="K976" s="307"/>
      <c r="L976" s="76"/>
      <c r="M976" s="76"/>
      <c r="N976" s="407"/>
      <c r="O976" s="407"/>
      <c r="P976" s="407"/>
      <c r="Q976" s="407"/>
      <c r="R976" s="407"/>
      <c r="S976" s="407"/>
      <c r="T976" s="407"/>
      <c r="U976" s="407"/>
      <c r="V976" s="407"/>
      <c r="W976" s="407">
        <v>65000</v>
      </c>
      <c r="X976" s="407"/>
      <c r="Y976" s="407"/>
      <c r="Z976" s="407"/>
      <c r="AA976" s="407">
        <f t="shared" si="132"/>
        <v>65000</v>
      </c>
      <c r="AC976" s="501"/>
      <c r="AD976" s="512"/>
      <c r="AE976" s="512"/>
      <c r="AF976" s="512"/>
      <c r="AG976" s="507"/>
      <c r="AH976" s="507"/>
    </row>
    <row r="977" spans="1:34" s="362" customFormat="1" ht="31.5">
      <c r="A977" s="608"/>
      <c r="B977" s="608"/>
      <c r="C977" s="306"/>
      <c r="D977" s="1" t="s">
        <v>1379</v>
      </c>
      <c r="E977" s="292"/>
      <c r="F977" s="143"/>
      <c r="G977" s="292"/>
      <c r="H977" s="427">
        <v>3142</v>
      </c>
      <c r="I977" s="307">
        <f>15000-15000</f>
        <v>0</v>
      </c>
      <c r="J977" s="307"/>
      <c r="K977" s="307"/>
      <c r="L977" s="76"/>
      <c r="M977" s="76">
        <v>15000</v>
      </c>
      <c r="N977" s="407"/>
      <c r="O977" s="407"/>
      <c r="P977" s="407"/>
      <c r="Q977" s="407"/>
      <c r="R977" s="407"/>
      <c r="S977" s="407"/>
      <c r="T977" s="407">
        <v>15000</v>
      </c>
      <c r="U977" s="407"/>
      <c r="V977" s="407"/>
      <c r="W977" s="407">
        <v>-15000</v>
      </c>
      <c r="X977" s="407"/>
      <c r="Y977" s="407"/>
      <c r="Z977" s="407"/>
      <c r="AA977" s="407">
        <f t="shared" si="132"/>
        <v>0</v>
      </c>
      <c r="AC977" s="501"/>
      <c r="AD977" s="512">
        <v>15000</v>
      </c>
      <c r="AE977" s="512"/>
      <c r="AF977" s="512"/>
      <c r="AG977" s="507"/>
      <c r="AH977" s="507"/>
    </row>
    <row r="978" spans="1:34" s="362" customFormat="1" ht="31.5">
      <c r="A978" s="608"/>
      <c r="B978" s="608"/>
      <c r="C978" s="306"/>
      <c r="D978" s="1" t="s">
        <v>1380</v>
      </c>
      <c r="E978" s="292"/>
      <c r="F978" s="143"/>
      <c r="G978" s="292"/>
      <c r="H978" s="427">
        <v>3142</v>
      </c>
      <c r="I978" s="307">
        <v>300000</v>
      </c>
      <c r="J978" s="307"/>
      <c r="K978" s="307"/>
      <c r="L978" s="76"/>
      <c r="M978" s="76">
        <v>300000</v>
      </c>
      <c r="N978" s="407"/>
      <c r="O978" s="407"/>
      <c r="P978" s="407"/>
      <c r="Q978" s="407"/>
      <c r="R978" s="407">
        <v>100000</v>
      </c>
      <c r="S978" s="407">
        <v>100000</v>
      </c>
      <c r="T978" s="407">
        <v>100000</v>
      </c>
      <c r="U978" s="407"/>
      <c r="V978" s="407"/>
      <c r="W978" s="407"/>
      <c r="X978" s="407"/>
      <c r="Y978" s="407"/>
      <c r="Z978" s="407"/>
      <c r="AA978" s="407">
        <f t="shared" si="132"/>
        <v>300000</v>
      </c>
      <c r="AC978" s="501"/>
      <c r="AD978" s="512">
        <v>300000</v>
      </c>
      <c r="AE978" s="512"/>
      <c r="AF978" s="512" t="s">
        <v>730</v>
      </c>
      <c r="AG978" s="507"/>
      <c r="AH978" s="507"/>
    </row>
    <row r="979" spans="1:34" s="362" customFormat="1" ht="31.5">
      <c r="A979" s="608"/>
      <c r="B979" s="608"/>
      <c r="C979" s="306"/>
      <c r="D979" s="1" t="s">
        <v>1689</v>
      </c>
      <c r="E979" s="292"/>
      <c r="F979" s="143"/>
      <c r="G979" s="292"/>
      <c r="H979" s="427">
        <v>3142</v>
      </c>
      <c r="I979" s="307">
        <v>350000</v>
      </c>
      <c r="J979" s="307"/>
      <c r="K979" s="307"/>
      <c r="L979" s="76"/>
      <c r="M979" s="76">
        <v>350000</v>
      </c>
      <c r="N979" s="407"/>
      <c r="O979" s="407"/>
      <c r="P979" s="407"/>
      <c r="Q979" s="407"/>
      <c r="R979" s="407">
        <v>100000</v>
      </c>
      <c r="S979" s="407">
        <v>70000</v>
      </c>
      <c r="T979" s="407">
        <v>70000</v>
      </c>
      <c r="U979" s="407">
        <v>110000</v>
      </c>
      <c r="V979" s="407"/>
      <c r="W979" s="407"/>
      <c r="X979" s="407"/>
      <c r="Y979" s="407"/>
      <c r="Z979" s="407"/>
      <c r="AA979" s="407">
        <f t="shared" si="132"/>
        <v>350000</v>
      </c>
      <c r="AC979" s="501"/>
      <c r="AD979" s="512">
        <v>350000</v>
      </c>
      <c r="AE979" s="512"/>
      <c r="AF979" s="512" t="s">
        <v>730</v>
      </c>
      <c r="AG979" s="507"/>
      <c r="AH979" s="507"/>
    </row>
    <row r="980" spans="1:34" s="362" customFormat="1" ht="31.5">
      <c r="A980" s="608"/>
      <c r="B980" s="608"/>
      <c r="C980" s="306"/>
      <c r="D980" s="1" t="s">
        <v>1225</v>
      </c>
      <c r="E980" s="292"/>
      <c r="F980" s="143"/>
      <c r="G980" s="292"/>
      <c r="H980" s="427">
        <v>3142</v>
      </c>
      <c r="I980" s="307">
        <v>196993.08</v>
      </c>
      <c r="J980" s="307"/>
      <c r="K980" s="307"/>
      <c r="L980" s="76"/>
      <c r="M980" s="76">
        <v>196993.08</v>
      </c>
      <c r="N980" s="407"/>
      <c r="O980" s="407"/>
      <c r="P980" s="407"/>
      <c r="Q980" s="407"/>
      <c r="R980" s="407"/>
      <c r="S980" s="407">
        <v>50000</v>
      </c>
      <c r="T980" s="407">
        <v>50000</v>
      </c>
      <c r="U980" s="407">
        <v>96993.08</v>
      </c>
      <c r="V980" s="407"/>
      <c r="W980" s="407"/>
      <c r="X980" s="407"/>
      <c r="Y980" s="407"/>
      <c r="Z980" s="407"/>
      <c r="AA980" s="407">
        <f t="shared" si="132"/>
        <v>196993.08</v>
      </c>
      <c r="AC980" s="501"/>
      <c r="AD980" s="512">
        <v>196993.08</v>
      </c>
      <c r="AE980" s="512"/>
      <c r="AF980" s="512" t="s">
        <v>730</v>
      </c>
      <c r="AG980" s="507"/>
      <c r="AH980" s="507"/>
    </row>
    <row r="981" spans="1:34" s="362" customFormat="1" ht="31.5" hidden="1">
      <c r="A981" s="608"/>
      <c r="B981" s="608"/>
      <c r="C981" s="306"/>
      <c r="D981" s="13" t="s">
        <v>1226</v>
      </c>
      <c r="E981" s="292"/>
      <c r="F981" s="143"/>
      <c r="G981" s="292"/>
      <c r="H981" s="427">
        <v>3142</v>
      </c>
      <c r="I981" s="307">
        <f>100000-100000</f>
        <v>0</v>
      </c>
      <c r="J981" s="307"/>
      <c r="K981" s="307"/>
      <c r="L981" s="76"/>
      <c r="M981" s="76">
        <v>100000</v>
      </c>
      <c r="N981" s="407"/>
      <c r="O981" s="407"/>
      <c r="P981" s="407"/>
      <c r="Q981" s="407"/>
      <c r="R981" s="407">
        <v>100000</v>
      </c>
      <c r="S981" s="407"/>
      <c r="T981" s="407"/>
      <c r="U981" s="407"/>
      <c r="V981" s="407"/>
      <c r="W981" s="407">
        <v>-100000</v>
      </c>
      <c r="X981" s="407"/>
      <c r="Y981" s="407"/>
      <c r="Z981" s="407"/>
      <c r="AA981" s="407">
        <f t="shared" si="132"/>
        <v>0</v>
      </c>
      <c r="AC981" s="501"/>
      <c r="AD981" s="512">
        <v>100000</v>
      </c>
      <c r="AE981" s="512"/>
      <c r="AF981" s="512"/>
      <c r="AG981" s="507"/>
      <c r="AH981" s="507"/>
    </row>
    <row r="982" spans="1:34" s="362" customFormat="1" ht="51">
      <c r="A982" s="608"/>
      <c r="B982" s="608"/>
      <c r="C982" s="306"/>
      <c r="D982" s="13" t="s">
        <v>130</v>
      </c>
      <c r="E982" s="292"/>
      <c r="F982" s="143"/>
      <c r="G982" s="292"/>
      <c r="H982" s="427">
        <v>3142</v>
      </c>
      <c r="I982" s="307">
        <f>50000+257171</f>
        <v>307171</v>
      </c>
      <c r="J982" s="307"/>
      <c r="K982" s="307"/>
      <c r="L982" s="76"/>
      <c r="M982" s="76">
        <v>50000</v>
      </c>
      <c r="N982" s="407"/>
      <c r="O982" s="407"/>
      <c r="P982" s="407"/>
      <c r="Q982" s="407"/>
      <c r="R982" s="407">
        <v>50000</v>
      </c>
      <c r="S982" s="407"/>
      <c r="T982" s="407"/>
      <c r="U982" s="407"/>
      <c r="V982" s="407"/>
      <c r="W982" s="407"/>
      <c r="X982" s="407">
        <v>257171</v>
      </c>
      <c r="Y982" s="407"/>
      <c r="Z982" s="407">
        <f>1793.4+2391.2+1320+1793.4+97471.8</f>
        <v>104769.8</v>
      </c>
      <c r="AA982" s="407">
        <f t="shared" si="132"/>
        <v>202401.2</v>
      </c>
      <c r="AC982" s="501"/>
      <c r="AD982" s="512">
        <v>50000</v>
      </c>
      <c r="AE982" s="512">
        <v>307171</v>
      </c>
      <c r="AF982" s="512" t="s">
        <v>731</v>
      </c>
      <c r="AG982" s="507" t="s">
        <v>732</v>
      </c>
      <c r="AH982" s="507" t="s">
        <v>1629</v>
      </c>
    </row>
    <row r="983" spans="1:34" s="362" customFormat="1" ht="31.5">
      <c r="A983" s="608"/>
      <c r="B983" s="608"/>
      <c r="C983" s="306"/>
      <c r="D983" s="14" t="s">
        <v>1888</v>
      </c>
      <c r="E983" s="292"/>
      <c r="F983" s="143"/>
      <c r="G983" s="292"/>
      <c r="H983" s="427">
        <v>3142</v>
      </c>
      <c r="I983" s="307">
        <v>50000</v>
      </c>
      <c r="J983" s="307"/>
      <c r="K983" s="307"/>
      <c r="L983" s="76"/>
      <c r="M983" s="76">
        <v>50000</v>
      </c>
      <c r="N983" s="407"/>
      <c r="O983" s="407"/>
      <c r="P983" s="407"/>
      <c r="Q983" s="407"/>
      <c r="R983" s="407"/>
      <c r="S983" s="407"/>
      <c r="T983" s="407"/>
      <c r="U983" s="407">
        <v>50000</v>
      </c>
      <c r="V983" s="407"/>
      <c r="W983" s="407"/>
      <c r="X983" s="407"/>
      <c r="Y983" s="407"/>
      <c r="Z983" s="407"/>
      <c r="AA983" s="407">
        <f t="shared" si="132"/>
        <v>50000</v>
      </c>
      <c r="AC983" s="501"/>
      <c r="AD983" s="512">
        <v>50000</v>
      </c>
      <c r="AE983" s="512"/>
      <c r="AF983" s="512"/>
      <c r="AG983" s="507"/>
      <c r="AH983" s="507"/>
    </row>
    <row r="984" spans="1:34" s="362" customFormat="1" ht="47.25" hidden="1">
      <c r="A984" s="608"/>
      <c r="B984" s="608"/>
      <c r="C984" s="306"/>
      <c r="D984" s="375" t="s">
        <v>1360</v>
      </c>
      <c r="E984" s="292"/>
      <c r="F984" s="143"/>
      <c r="G984" s="292"/>
      <c r="H984" s="427">
        <v>3142</v>
      </c>
      <c r="I984" s="307">
        <f>500000-500000</f>
        <v>0</v>
      </c>
      <c r="J984" s="307"/>
      <c r="K984" s="307"/>
      <c r="L984" s="76"/>
      <c r="M984" s="76">
        <v>500000</v>
      </c>
      <c r="N984" s="407"/>
      <c r="O984" s="407"/>
      <c r="P984" s="407"/>
      <c r="Q984" s="407"/>
      <c r="R984" s="407"/>
      <c r="S984" s="407">
        <v>100000</v>
      </c>
      <c r="T984" s="407"/>
      <c r="U984" s="407">
        <f>400000-500000</f>
        <v>-100000</v>
      </c>
      <c r="V984" s="407"/>
      <c r="W984" s="407"/>
      <c r="X984" s="407"/>
      <c r="Y984" s="407"/>
      <c r="Z984" s="407"/>
      <c r="AA984" s="407">
        <f t="shared" si="132"/>
        <v>0</v>
      </c>
      <c r="AC984" s="501"/>
      <c r="AD984" s="512"/>
      <c r="AE984" s="512"/>
      <c r="AF984" s="512"/>
      <c r="AG984" s="507"/>
      <c r="AH984" s="507"/>
    </row>
    <row r="985" spans="1:34" s="362" customFormat="1" ht="51">
      <c r="A985" s="608"/>
      <c r="B985" s="608"/>
      <c r="C985" s="306"/>
      <c r="D985" s="14" t="s">
        <v>1889</v>
      </c>
      <c r="E985" s="292"/>
      <c r="F985" s="143"/>
      <c r="G985" s="292"/>
      <c r="H985" s="427">
        <v>3142</v>
      </c>
      <c r="I985" s="307">
        <v>350000</v>
      </c>
      <c r="J985" s="307"/>
      <c r="K985" s="307"/>
      <c r="L985" s="76"/>
      <c r="M985" s="76">
        <v>350000</v>
      </c>
      <c r="N985" s="407"/>
      <c r="O985" s="407"/>
      <c r="P985" s="407"/>
      <c r="Q985" s="407"/>
      <c r="R985" s="407">
        <v>80000</v>
      </c>
      <c r="S985" s="407"/>
      <c r="T985" s="407">
        <v>135000</v>
      </c>
      <c r="U985" s="407">
        <v>135000</v>
      </c>
      <c r="V985" s="407"/>
      <c r="W985" s="407"/>
      <c r="X985" s="407"/>
      <c r="Y985" s="407"/>
      <c r="Z985" s="407">
        <f>61377.3+24211.2+1859.3+33519+21114.5</f>
        <v>142081.3</v>
      </c>
      <c r="AA985" s="407">
        <f t="shared" si="132"/>
        <v>207918.7</v>
      </c>
      <c r="AC985" s="501"/>
      <c r="AD985" s="512">
        <v>350000</v>
      </c>
      <c r="AE985" s="512" t="s">
        <v>1542</v>
      </c>
      <c r="AF985" s="512" t="s">
        <v>1578</v>
      </c>
      <c r="AG985" s="507" t="s">
        <v>1626</v>
      </c>
      <c r="AH985" s="507" t="s">
        <v>1542</v>
      </c>
    </row>
    <row r="986" spans="1:34" s="362" customFormat="1" ht="51">
      <c r="A986" s="608"/>
      <c r="B986" s="608"/>
      <c r="C986" s="306"/>
      <c r="D986" s="375" t="s">
        <v>1692</v>
      </c>
      <c r="E986" s="292"/>
      <c r="F986" s="143"/>
      <c r="G986" s="292"/>
      <c r="H986" s="427">
        <v>3142</v>
      </c>
      <c r="I986" s="307">
        <v>463000</v>
      </c>
      <c r="J986" s="307"/>
      <c r="K986" s="307"/>
      <c r="L986" s="76"/>
      <c r="M986" s="76">
        <v>463000</v>
      </c>
      <c r="N986" s="407"/>
      <c r="O986" s="407"/>
      <c r="P986" s="407"/>
      <c r="Q986" s="407"/>
      <c r="R986" s="407"/>
      <c r="S986" s="407">
        <v>463000</v>
      </c>
      <c r="T986" s="407"/>
      <c r="U986" s="407"/>
      <c r="V986" s="407"/>
      <c r="W986" s="407"/>
      <c r="X986" s="407"/>
      <c r="Y986" s="407"/>
      <c r="Z986" s="407"/>
      <c r="AA986" s="407">
        <f t="shared" si="132"/>
        <v>463000</v>
      </c>
      <c r="AC986" s="501"/>
      <c r="AD986" s="512">
        <v>463000</v>
      </c>
      <c r="AE986" s="512">
        <v>915109</v>
      </c>
      <c r="AF986" s="512"/>
      <c r="AG986" s="507" t="s">
        <v>732</v>
      </c>
      <c r="AH986" s="507" t="s">
        <v>1629</v>
      </c>
    </row>
    <row r="987" spans="1:34" s="362" customFormat="1" ht="31.5">
      <c r="A987" s="608"/>
      <c r="B987" s="608"/>
      <c r="C987" s="306"/>
      <c r="D987" s="13" t="s">
        <v>1693</v>
      </c>
      <c r="E987" s="292"/>
      <c r="F987" s="143"/>
      <c r="G987" s="292"/>
      <c r="H987" s="427">
        <v>3210</v>
      </c>
      <c r="I987" s="307">
        <v>116049.77</v>
      </c>
      <c r="J987" s="307"/>
      <c r="K987" s="307"/>
      <c r="L987" s="76"/>
      <c r="M987" s="76">
        <v>116049.77</v>
      </c>
      <c r="N987" s="407"/>
      <c r="O987" s="407"/>
      <c r="P987" s="407"/>
      <c r="Q987" s="76">
        <v>116049.77</v>
      </c>
      <c r="R987" s="407"/>
      <c r="S987" s="407"/>
      <c r="T987" s="407"/>
      <c r="U987" s="407"/>
      <c r="V987" s="407"/>
      <c r="W987" s="407"/>
      <c r="X987" s="407"/>
      <c r="Y987" s="407"/>
      <c r="Z987" s="407"/>
      <c r="AA987" s="407">
        <f t="shared" si="132"/>
        <v>116049.77</v>
      </c>
      <c r="AC987" s="501"/>
      <c r="AD987" s="512">
        <v>116049.77</v>
      </c>
      <c r="AE987" s="512"/>
      <c r="AF987" s="512" t="s">
        <v>730</v>
      </c>
      <c r="AG987" s="507"/>
      <c r="AH987" s="507"/>
    </row>
    <row r="988" spans="1:34" s="362" customFormat="1" ht="31.5">
      <c r="A988" s="608"/>
      <c r="B988" s="608"/>
      <c r="C988" s="306"/>
      <c r="D988" s="13" t="s">
        <v>1694</v>
      </c>
      <c r="E988" s="292"/>
      <c r="F988" s="143"/>
      <c r="G988" s="292"/>
      <c r="H988" s="427">
        <v>3210</v>
      </c>
      <c r="I988" s="307">
        <v>105192.87</v>
      </c>
      <c r="J988" s="307"/>
      <c r="K988" s="307"/>
      <c r="L988" s="76"/>
      <c r="M988" s="76">
        <v>105192.87</v>
      </c>
      <c r="N988" s="407"/>
      <c r="O988" s="407"/>
      <c r="P988" s="407"/>
      <c r="Q988" s="76">
        <v>105192.87</v>
      </c>
      <c r="R988" s="407"/>
      <c r="S988" s="407"/>
      <c r="T988" s="407"/>
      <c r="U988" s="407"/>
      <c r="V988" s="407"/>
      <c r="W988" s="407"/>
      <c r="X988" s="407"/>
      <c r="Y988" s="407"/>
      <c r="Z988" s="407"/>
      <c r="AA988" s="407">
        <f t="shared" si="132"/>
        <v>105192.87</v>
      </c>
      <c r="AC988" s="501"/>
      <c r="AD988" s="512">
        <v>105192.87</v>
      </c>
      <c r="AE988" s="512"/>
      <c r="AF988" s="512" t="s">
        <v>730</v>
      </c>
      <c r="AG988" s="507"/>
      <c r="AH988" s="507"/>
    </row>
    <row r="989" spans="1:34" s="362" customFormat="1" ht="31.5">
      <c r="A989" s="608"/>
      <c r="B989" s="608"/>
      <c r="C989" s="306"/>
      <c r="D989" s="13" t="s">
        <v>1695</v>
      </c>
      <c r="E989" s="292"/>
      <c r="F989" s="143"/>
      <c r="G989" s="292"/>
      <c r="H989" s="427">
        <v>3142</v>
      </c>
      <c r="I989" s="307">
        <v>30000</v>
      </c>
      <c r="J989" s="307"/>
      <c r="K989" s="307"/>
      <c r="L989" s="76"/>
      <c r="M989" s="76">
        <v>30000</v>
      </c>
      <c r="N989" s="407"/>
      <c r="O989" s="407"/>
      <c r="P989" s="407"/>
      <c r="Q989" s="407"/>
      <c r="R989" s="76">
        <v>30000</v>
      </c>
      <c r="S989" s="407"/>
      <c r="T989" s="407"/>
      <c r="U989" s="407"/>
      <c r="V989" s="407"/>
      <c r="W989" s="407"/>
      <c r="X989" s="407"/>
      <c r="Y989" s="407"/>
      <c r="Z989" s="407"/>
      <c r="AA989" s="407">
        <f t="shared" si="132"/>
        <v>30000</v>
      </c>
      <c r="AC989" s="501"/>
      <c r="AD989" s="512">
        <v>30000</v>
      </c>
      <c r="AE989" s="512"/>
      <c r="AF989" s="512"/>
      <c r="AG989" s="507"/>
      <c r="AH989" s="507"/>
    </row>
    <row r="990" spans="1:34" s="362" customFormat="1" ht="31.5">
      <c r="A990" s="608"/>
      <c r="B990" s="608"/>
      <c r="C990" s="306"/>
      <c r="D990" s="13" t="s">
        <v>1697</v>
      </c>
      <c r="E990" s="292"/>
      <c r="F990" s="143"/>
      <c r="G990" s="292"/>
      <c r="H990" s="427">
        <v>3142</v>
      </c>
      <c r="I990" s="307">
        <v>30000</v>
      </c>
      <c r="J990" s="307"/>
      <c r="K990" s="307"/>
      <c r="L990" s="76"/>
      <c r="M990" s="76">
        <v>30000</v>
      </c>
      <c r="N990" s="407"/>
      <c r="O990" s="407"/>
      <c r="P990" s="407"/>
      <c r="Q990" s="407"/>
      <c r="R990" s="76">
        <v>30000</v>
      </c>
      <c r="S990" s="407"/>
      <c r="T990" s="407"/>
      <c r="U990" s="407"/>
      <c r="V990" s="407"/>
      <c r="W990" s="407"/>
      <c r="X990" s="407"/>
      <c r="Y990" s="407"/>
      <c r="Z990" s="407"/>
      <c r="AA990" s="407">
        <f t="shared" si="132"/>
        <v>30000</v>
      </c>
      <c r="AC990" s="501"/>
      <c r="AD990" s="512">
        <v>30000</v>
      </c>
      <c r="AE990" s="512"/>
      <c r="AF990" s="512"/>
      <c r="AG990" s="507"/>
      <c r="AH990" s="507"/>
    </row>
    <row r="991" spans="1:34" s="362" customFormat="1" ht="31.5">
      <c r="A991" s="608"/>
      <c r="B991" s="608"/>
      <c r="C991" s="306"/>
      <c r="D991" s="13" t="s">
        <v>410</v>
      </c>
      <c r="E991" s="292"/>
      <c r="F991" s="143"/>
      <c r="G991" s="292"/>
      <c r="H991" s="427">
        <v>3122</v>
      </c>
      <c r="I991" s="307">
        <v>80000</v>
      </c>
      <c r="J991" s="307"/>
      <c r="K991" s="307"/>
      <c r="L991" s="76"/>
      <c r="M991" s="76">
        <v>80000</v>
      </c>
      <c r="N991" s="407"/>
      <c r="O991" s="407"/>
      <c r="P991" s="407"/>
      <c r="Q991" s="407"/>
      <c r="R991" s="407"/>
      <c r="S991" s="407">
        <v>80000</v>
      </c>
      <c r="T991" s="407"/>
      <c r="U991" s="407"/>
      <c r="V991" s="407"/>
      <c r="W991" s="407"/>
      <c r="X991" s="407"/>
      <c r="Y991" s="407"/>
      <c r="Z991" s="407"/>
      <c r="AA991" s="407">
        <f t="shared" si="132"/>
        <v>80000</v>
      </c>
      <c r="AC991" s="501"/>
      <c r="AD991" s="512">
        <v>80000</v>
      </c>
      <c r="AE991" s="512"/>
      <c r="AF991" s="512"/>
      <c r="AG991" s="507"/>
      <c r="AH991" s="507"/>
    </row>
    <row r="992" spans="1:34" s="362" customFormat="1" ht="31.5">
      <c r="A992" s="608"/>
      <c r="B992" s="608"/>
      <c r="C992" s="306"/>
      <c r="D992" s="13" t="s">
        <v>1698</v>
      </c>
      <c r="E992" s="292"/>
      <c r="F992" s="143"/>
      <c r="G992" s="292"/>
      <c r="H992" s="427">
        <v>3142</v>
      </c>
      <c r="I992" s="307">
        <v>300000</v>
      </c>
      <c r="J992" s="307"/>
      <c r="K992" s="307"/>
      <c r="L992" s="76"/>
      <c r="M992" s="76">
        <v>300000</v>
      </c>
      <c r="N992" s="407"/>
      <c r="O992" s="407"/>
      <c r="P992" s="407"/>
      <c r="Q992" s="407"/>
      <c r="R992" s="407">
        <v>20000</v>
      </c>
      <c r="S992" s="407"/>
      <c r="T992" s="407">
        <v>140000</v>
      </c>
      <c r="U992" s="407">
        <v>140000</v>
      </c>
      <c r="V992" s="407"/>
      <c r="W992" s="407"/>
      <c r="X992" s="407"/>
      <c r="Y992" s="407"/>
      <c r="Z992" s="407"/>
      <c r="AA992" s="407">
        <f t="shared" si="132"/>
        <v>300000</v>
      </c>
      <c r="AC992" s="501"/>
      <c r="AD992" s="512">
        <v>300000</v>
      </c>
      <c r="AE992" s="512"/>
      <c r="AF992" s="512"/>
      <c r="AG992" s="507"/>
      <c r="AH992" s="507"/>
    </row>
    <row r="993" spans="1:34" s="362" customFormat="1" ht="15.75">
      <c r="A993" s="608"/>
      <c r="B993" s="608"/>
      <c r="C993" s="306"/>
      <c r="D993" s="14" t="s">
        <v>1219</v>
      </c>
      <c r="E993" s="292"/>
      <c r="F993" s="143"/>
      <c r="G993" s="292"/>
      <c r="H993" s="427">
        <v>3122</v>
      </c>
      <c r="I993" s="307">
        <v>30000</v>
      </c>
      <c r="J993" s="307"/>
      <c r="K993" s="307"/>
      <c r="L993" s="76"/>
      <c r="M993" s="76">
        <v>30000</v>
      </c>
      <c r="N993" s="407"/>
      <c r="O993" s="407"/>
      <c r="P993" s="407"/>
      <c r="Q993" s="407"/>
      <c r="R993" s="407">
        <v>30000</v>
      </c>
      <c r="S993" s="407"/>
      <c r="T993" s="407"/>
      <c r="U993" s="407"/>
      <c r="V993" s="407"/>
      <c r="W993" s="407"/>
      <c r="X993" s="407"/>
      <c r="Y993" s="407"/>
      <c r="Z993" s="407"/>
      <c r="AA993" s="407">
        <f t="shared" si="132"/>
        <v>30000</v>
      </c>
      <c r="AC993" s="501"/>
      <c r="AD993" s="512">
        <v>30000</v>
      </c>
      <c r="AE993" s="512"/>
      <c r="AF993" s="512"/>
      <c r="AG993" s="507"/>
      <c r="AH993" s="507"/>
    </row>
    <row r="994" spans="1:34" s="362" customFormat="1" ht="31.5">
      <c r="A994" s="608"/>
      <c r="B994" s="608"/>
      <c r="C994" s="306"/>
      <c r="D994" s="14" t="s">
        <v>1220</v>
      </c>
      <c r="E994" s="292"/>
      <c r="F994" s="143"/>
      <c r="G994" s="292"/>
      <c r="H994" s="427">
        <v>3122</v>
      </c>
      <c r="I994" s="307">
        <v>30000</v>
      </c>
      <c r="J994" s="307"/>
      <c r="K994" s="307"/>
      <c r="L994" s="76"/>
      <c r="M994" s="76">
        <v>30000</v>
      </c>
      <c r="N994" s="407"/>
      <c r="O994" s="407"/>
      <c r="P994" s="407"/>
      <c r="Q994" s="407"/>
      <c r="R994" s="407">
        <v>5000</v>
      </c>
      <c r="S994" s="407">
        <f>25000-25000</f>
        <v>0</v>
      </c>
      <c r="T994" s="407"/>
      <c r="U994" s="407"/>
      <c r="V994" s="407"/>
      <c r="W994" s="407"/>
      <c r="X994" s="407"/>
      <c r="Y994" s="407">
        <v>25000</v>
      </c>
      <c r="Z994" s="407"/>
      <c r="AA994" s="407">
        <f t="shared" si="132"/>
        <v>5000</v>
      </c>
      <c r="AC994" s="501"/>
      <c r="AD994" s="512">
        <v>30000</v>
      </c>
      <c r="AE994" s="512"/>
      <c r="AF994" s="512"/>
      <c r="AG994" s="507"/>
      <c r="AH994" s="507"/>
    </row>
    <row r="995" spans="1:34" s="362" customFormat="1" ht="18.75" customHeight="1">
      <c r="A995" s="608"/>
      <c r="B995" s="608"/>
      <c r="C995" s="306"/>
      <c r="D995" s="14" t="s">
        <v>1221</v>
      </c>
      <c r="E995" s="292"/>
      <c r="F995" s="143"/>
      <c r="G995" s="292"/>
      <c r="H995" s="427">
        <v>3122</v>
      </c>
      <c r="I995" s="307">
        <v>30000</v>
      </c>
      <c r="J995" s="307"/>
      <c r="K995" s="307"/>
      <c r="L995" s="76"/>
      <c r="M995" s="76">
        <v>30000</v>
      </c>
      <c r="N995" s="407"/>
      <c r="O995" s="407"/>
      <c r="P995" s="407"/>
      <c r="Q995" s="407"/>
      <c r="R995" s="407">
        <v>5000</v>
      </c>
      <c r="S995" s="407">
        <f>12500-12500</f>
        <v>0</v>
      </c>
      <c r="T995" s="407">
        <f>12500-12500</f>
        <v>0</v>
      </c>
      <c r="U995" s="407"/>
      <c r="V995" s="407"/>
      <c r="W995" s="407"/>
      <c r="X995" s="407"/>
      <c r="Y995" s="407">
        <v>25000</v>
      </c>
      <c r="Z995" s="407"/>
      <c r="AA995" s="407">
        <f t="shared" si="132"/>
        <v>5000</v>
      </c>
      <c r="AC995" s="501"/>
      <c r="AD995" s="512">
        <v>30000</v>
      </c>
      <c r="AE995" s="512"/>
      <c r="AF995" s="512"/>
      <c r="AG995" s="507"/>
      <c r="AH995" s="507"/>
    </row>
    <row r="996" spans="1:34" s="362" customFormat="1" ht="31.5">
      <c r="A996" s="608"/>
      <c r="B996" s="608"/>
      <c r="C996" s="306"/>
      <c r="D996" s="14" t="s">
        <v>1751</v>
      </c>
      <c r="E996" s="292"/>
      <c r="F996" s="143"/>
      <c r="G996" s="292"/>
      <c r="H996" s="427">
        <v>3142</v>
      </c>
      <c r="I996" s="307">
        <v>120000</v>
      </c>
      <c r="J996" s="307"/>
      <c r="K996" s="307"/>
      <c r="L996" s="49"/>
      <c r="M996" s="49">
        <v>120000</v>
      </c>
      <c r="N996" s="407"/>
      <c r="O996" s="407"/>
      <c r="P996" s="407"/>
      <c r="Q996" s="407"/>
      <c r="R996" s="407">
        <v>6000</v>
      </c>
      <c r="S996" s="407">
        <f>114000-114000</f>
        <v>0</v>
      </c>
      <c r="T996" s="407"/>
      <c r="U996" s="407"/>
      <c r="V996" s="407"/>
      <c r="W996" s="407"/>
      <c r="X996" s="407">
        <v>2500</v>
      </c>
      <c r="Y996" s="407">
        <v>111500</v>
      </c>
      <c r="Z996" s="407"/>
      <c r="AA996" s="407">
        <f t="shared" si="132"/>
        <v>8500</v>
      </c>
      <c r="AC996" s="501"/>
      <c r="AD996" s="512">
        <v>120000</v>
      </c>
      <c r="AE996" s="512"/>
      <c r="AF996" s="512"/>
      <c r="AG996" s="507"/>
      <c r="AH996" s="507"/>
    </row>
    <row r="997" spans="1:34" s="362" customFormat="1" ht="31.5">
      <c r="A997" s="608"/>
      <c r="B997" s="608"/>
      <c r="C997" s="306"/>
      <c r="D997" s="14" t="s">
        <v>1222</v>
      </c>
      <c r="E997" s="292"/>
      <c r="F997" s="143"/>
      <c r="G997" s="292"/>
      <c r="H997" s="427">
        <v>3122</v>
      </c>
      <c r="I997" s="307">
        <v>150000</v>
      </c>
      <c r="J997" s="307"/>
      <c r="K997" s="307"/>
      <c r="L997" s="49"/>
      <c r="M997" s="49">
        <v>150000</v>
      </c>
      <c r="N997" s="407"/>
      <c r="O997" s="407"/>
      <c r="P997" s="407"/>
      <c r="Q997" s="407"/>
      <c r="R997" s="407"/>
      <c r="S997" s="407"/>
      <c r="T997" s="407">
        <v>30000</v>
      </c>
      <c r="U997" s="407">
        <f>120000-120000</f>
        <v>0</v>
      </c>
      <c r="V997" s="407"/>
      <c r="W997" s="407"/>
      <c r="X997" s="407"/>
      <c r="Y997" s="407">
        <v>120000</v>
      </c>
      <c r="Z997" s="407"/>
      <c r="AA997" s="407">
        <f t="shared" si="132"/>
        <v>30000</v>
      </c>
      <c r="AC997" s="501"/>
      <c r="AD997" s="512">
        <v>150000</v>
      </c>
      <c r="AE997" s="512"/>
      <c r="AF997" s="512"/>
      <c r="AG997" s="507"/>
      <c r="AH997" s="507"/>
    </row>
    <row r="998" spans="1:34" s="362" customFormat="1" ht="31.5">
      <c r="A998" s="608"/>
      <c r="B998" s="608"/>
      <c r="C998" s="306"/>
      <c r="D998" s="374" t="s">
        <v>1223</v>
      </c>
      <c r="E998" s="292"/>
      <c r="F998" s="143"/>
      <c r="G998" s="292"/>
      <c r="H998" s="427">
        <v>3122</v>
      </c>
      <c r="I998" s="307">
        <v>30000</v>
      </c>
      <c r="J998" s="307"/>
      <c r="K998" s="307"/>
      <c r="L998" s="49"/>
      <c r="M998" s="49">
        <v>30000</v>
      </c>
      <c r="N998" s="407"/>
      <c r="O998" s="407"/>
      <c r="P998" s="407"/>
      <c r="Q998" s="407"/>
      <c r="R998" s="407"/>
      <c r="S998" s="407"/>
      <c r="T998" s="407"/>
      <c r="U998" s="407">
        <v>5000</v>
      </c>
      <c r="V998" s="407">
        <f>25000-25000</f>
        <v>0</v>
      </c>
      <c r="W998" s="407"/>
      <c r="X998" s="407"/>
      <c r="Y998" s="407">
        <v>25000</v>
      </c>
      <c r="Z998" s="407"/>
      <c r="AA998" s="407">
        <f t="shared" si="132"/>
        <v>5000</v>
      </c>
      <c r="AC998" s="501"/>
      <c r="AD998" s="512">
        <v>30000</v>
      </c>
      <c r="AE998" s="512"/>
      <c r="AF998" s="512"/>
      <c r="AG998" s="507"/>
      <c r="AH998" s="507"/>
    </row>
    <row r="999" spans="1:34" s="362" customFormat="1" ht="51">
      <c r="A999" s="608"/>
      <c r="B999" s="608"/>
      <c r="C999" s="306"/>
      <c r="D999" s="13" t="s">
        <v>1224</v>
      </c>
      <c r="E999" s="292"/>
      <c r="F999" s="143"/>
      <c r="G999" s="292"/>
      <c r="H999" s="427">
        <v>3142</v>
      </c>
      <c r="I999" s="307">
        <f>40000+192210</f>
        <v>232210</v>
      </c>
      <c r="J999" s="307"/>
      <c r="K999" s="307"/>
      <c r="L999" s="474"/>
      <c r="M999" s="474">
        <v>40000</v>
      </c>
      <c r="N999" s="407"/>
      <c r="O999" s="407"/>
      <c r="P999" s="407"/>
      <c r="Q999" s="407"/>
      <c r="R999" s="407">
        <v>40000</v>
      </c>
      <c r="S999" s="407"/>
      <c r="T999" s="407"/>
      <c r="U999" s="407"/>
      <c r="V999" s="407"/>
      <c r="W999" s="407">
        <v>102210</v>
      </c>
      <c r="X999" s="407"/>
      <c r="Y999" s="407">
        <v>90000</v>
      </c>
      <c r="Z999" s="407">
        <f>2226.3+2968.4+1320+2226.3+101953.2</f>
        <v>110694.2</v>
      </c>
      <c r="AA999" s="407">
        <f t="shared" si="132"/>
        <v>31515.8</v>
      </c>
      <c r="AC999" s="501"/>
      <c r="AD999" s="512">
        <v>40000</v>
      </c>
      <c r="AE999" s="512">
        <v>232210</v>
      </c>
      <c r="AF999" s="512" t="s">
        <v>1018</v>
      </c>
      <c r="AG999" s="507" t="s">
        <v>732</v>
      </c>
      <c r="AH999" s="507" t="s">
        <v>1629</v>
      </c>
    </row>
    <row r="1000" spans="1:34" s="362" customFormat="1" ht="31.5">
      <c r="A1000" s="608"/>
      <c r="B1000" s="608"/>
      <c r="C1000" s="306"/>
      <c r="D1000" s="14" t="s">
        <v>42</v>
      </c>
      <c r="E1000" s="292"/>
      <c r="F1000" s="143"/>
      <c r="G1000" s="292"/>
      <c r="H1000" s="427">
        <v>3122</v>
      </c>
      <c r="I1000" s="307">
        <v>30000</v>
      </c>
      <c r="J1000" s="307"/>
      <c r="K1000" s="307"/>
      <c r="L1000" s="49"/>
      <c r="M1000" s="49">
        <v>30000</v>
      </c>
      <c r="N1000" s="407"/>
      <c r="O1000" s="407"/>
      <c r="P1000" s="407"/>
      <c r="Q1000" s="407"/>
      <c r="R1000" s="407">
        <v>5000</v>
      </c>
      <c r="S1000" s="407">
        <v>25000</v>
      </c>
      <c r="T1000" s="407"/>
      <c r="U1000" s="407"/>
      <c r="V1000" s="407"/>
      <c r="W1000" s="407"/>
      <c r="X1000" s="407"/>
      <c r="Y1000" s="407"/>
      <c r="Z1000" s="407"/>
      <c r="AA1000" s="407">
        <f t="shared" si="132"/>
        <v>30000</v>
      </c>
      <c r="AC1000" s="501"/>
      <c r="AD1000" s="512">
        <v>30000</v>
      </c>
      <c r="AE1000" s="512"/>
      <c r="AF1000" s="512"/>
      <c r="AG1000" s="507"/>
      <c r="AH1000" s="507"/>
    </row>
    <row r="1001" spans="1:34" s="362" customFormat="1" ht="31.5">
      <c r="A1001" s="608"/>
      <c r="B1001" s="608"/>
      <c r="C1001" s="306"/>
      <c r="D1001" s="13" t="s">
        <v>43</v>
      </c>
      <c r="E1001" s="292"/>
      <c r="F1001" s="143"/>
      <c r="G1001" s="292"/>
      <c r="H1001" s="427">
        <v>3122</v>
      </c>
      <c r="I1001" s="307">
        <v>15000</v>
      </c>
      <c r="J1001" s="307"/>
      <c r="K1001" s="307"/>
      <c r="L1001" s="49"/>
      <c r="M1001" s="49">
        <v>15000</v>
      </c>
      <c r="N1001" s="407"/>
      <c r="O1001" s="407"/>
      <c r="P1001" s="407"/>
      <c r="Q1001" s="407"/>
      <c r="R1001" s="407">
        <v>5000</v>
      </c>
      <c r="S1001" s="407">
        <v>10000</v>
      </c>
      <c r="T1001" s="407"/>
      <c r="U1001" s="407"/>
      <c r="V1001" s="407"/>
      <c r="W1001" s="407"/>
      <c r="X1001" s="407"/>
      <c r="Y1001" s="407"/>
      <c r="Z1001" s="407"/>
      <c r="AA1001" s="407">
        <f t="shared" si="132"/>
        <v>15000</v>
      </c>
      <c r="AC1001" s="501"/>
      <c r="AD1001" s="512">
        <v>15000</v>
      </c>
      <c r="AE1001" s="512"/>
      <c r="AF1001" s="512"/>
      <c r="AG1001" s="507"/>
      <c r="AH1001" s="507"/>
    </row>
    <row r="1002" spans="1:34" s="362" customFormat="1" ht="31.5">
      <c r="A1002" s="608"/>
      <c r="B1002" s="608"/>
      <c r="C1002" s="306"/>
      <c r="D1002" s="14" t="s">
        <v>44</v>
      </c>
      <c r="E1002" s="292"/>
      <c r="F1002" s="143"/>
      <c r="G1002" s="292"/>
      <c r="H1002" s="427">
        <v>3142</v>
      </c>
      <c r="I1002" s="307">
        <v>40000</v>
      </c>
      <c r="J1002" s="307"/>
      <c r="K1002" s="307"/>
      <c r="L1002" s="49"/>
      <c r="M1002" s="49">
        <v>40000</v>
      </c>
      <c r="N1002" s="407"/>
      <c r="O1002" s="407"/>
      <c r="P1002" s="407"/>
      <c r="Q1002" s="407"/>
      <c r="R1002" s="407"/>
      <c r="S1002" s="407"/>
      <c r="T1002" s="407">
        <v>5000</v>
      </c>
      <c r="U1002" s="407">
        <v>35000</v>
      </c>
      <c r="V1002" s="407"/>
      <c r="W1002" s="407"/>
      <c r="X1002" s="407"/>
      <c r="Y1002" s="407"/>
      <c r="Z1002" s="407"/>
      <c r="AA1002" s="407">
        <f t="shared" si="132"/>
        <v>40000</v>
      </c>
      <c r="AC1002" s="501"/>
      <c r="AD1002" s="512">
        <v>40000</v>
      </c>
      <c r="AE1002" s="512"/>
      <c r="AF1002" s="512"/>
      <c r="AG1002" s="507"/>
      <c r="AH1002" s="507"/>
    </row>
    <row r="1003" spans="1:34" s="362" customFormat="1" ht="31.5">
      <c r="A1003" s="608"/>
      <c r="B1003" s="608"/>
      <c r="C1003" s="306"/>
      <c r="D1003" s="13" t="s">
        <v>986</v>
      </c>
      <c r="E1003" s="292"/>
      <c r="F1003" s="143"/>
      <c r="G1003" s="292"/>
      <c r="H1003" s="427">
        <v>3210</v>
      </c>
      <c r="I1003" s="307">
        <f>173134.42+155315.09</f>
        <v>328449.51</v>
      </c>
      <c r="J1003" s="307"/>
      <c r="K1003" s="307"/>
      <c r="L1003" s="49"/>
      <c r="M1003" s="49">
        <v>173134.42</v>
      </c>
      <c r="N1003" s="407"/>
      <c r="O1003" s="407"/>
      <c r="P1003" s="407"/>
      <c r="Q1003" s="407"/>
      <c r="R1003" s="407">
        <v>50000</v>
      </c>
      <c r="S1003" s="407">
        <v>50000</v>
      </c>
      <c r="T1003" s="407">
        <v>73134.42</v>
      </c>
      <c r="U1003" s="407"/>
      <c r="V1003" s="407"/>
      <c r="W1003" s="407"/>
      <c r="X1003" s="407">
        <v>155315.09</v>
      </c>
      <c r="Y1003" s="407"/>
      <c r="Z1003" s="407"/>
      <c r="AA1003" s="407">
        <f t="shared" si="132"/>
        <v>328449.51</v>
      </c>
      <c r="AC1003" s="501"/>
      <c r="AD1003" s="512">
        <v>173134.42</v>
      </c>
      <c r="AE1003" s="512"/>
      <c r="AF1003" s="512" t="s">
        <v>730</v>
      </c>
      <c r="AG1003" s="507"/>
      <c r="AH1003" s="507"/>
    </row>
    <row r="1004" spans="1:34" s="362" customFormat="1" ht="51">
      <c r="A1004" s="608"/>
      <c r="B1004" s="608"/>
      <c r="C1004" s="306"/>
      <c r="D1004" s="14" t="s">
        <v>987</v>
      </c>
      <c r="E1004" s="292"/>
      <c r="F1004" s="143"/>
      <c r="G1004" s="292"/>
      <c r="H1004" s="427">
        <v>3142</v>
      </c>
      <c r="I1004" s="307">
        <v>328000</v>
      </c>
      <c r="J1004" s="307"/>
      <c r="K1004" s="307"/>
      <c r="L1004" s="49"/>
      <c r="M1004" s="49">
        <v>328000</v>
      </c>
      <c r="N1004" s="407"/>
      <c r="O1004" s="407"/>
      <c r="P1004" s="407"/>
      <c r="Q1004" s="407"/>
      <c r="R1004" s="407">
        <v>164000</v>
      </c>
      <c r="S1004" s="407">
        <v>164000</v>
      </c>
      <c r="T1004" s="407"/>
      <c r="U1004" s="407"/>
      <c r="V1004" s="407"/>
      <c r="W1004" s="407"/>
      <c r="X1004" s="407"/>
      <c r="Y1004" s="407"/>
      <c r="Z1004" s="407">
        <v>93648.44</v>
      </c>
      <c r="AA1004" s="407">
        <f t="shared" si="132"/>
        <v>234351.56</v>
      </c>
      <c r="AC1004" s="501"/>
      <c r="AD1004" s="512">
        <v>328000</v>
      </c>
      <c r="AE1004" s="512">
        <v>378110</v>
      </c>
      <c r="AF1004" s="512" t="s">
        <v>1019</v>
      </c>
      <c r="AG1004" s="507" t="s">
        <v>732</v>
      </c>
      <c r="AH1004" s="507" t="s">
        <v>1629</v>
      </c>
    </row>
    <row r="1005" spans="1:34" s="362" customFormat="1" ht="31.5">
      <c r="A1005" s="608"/>
      <c r="B1005" s="608"/>
      <c r="C1005" s="306"/>
      <c r="D1005" s="14" t="s">
        <v>1883</v>
      </c>
      <c r="E1005" s="292"/>
      <c r="F1005" s="143"/>
      <c r="G1005" s="292"/>
      <c r="H1005" s="427">
        <v>3122</v>
      </c>
      <c r="I1005" s="307">
        <v>602400</v>
      </c>
      <c r="J1005" s="307"/>
      <c r="K1005" s="307"/>
      <c r="L1005" s="49"/>
      <c r="M1005" s="49">
        <v>602400</v>
      </c>
      <c r="N1005" s="407"/>
      <c r="O1005" s="407"/>
      <c r="P1005" s="407"/>
      <c r="Q1005" s="407">
        <f>602400-580000</f>
        <v>22400</v>
      </c>
      <c r="R1005" s="407"/>
      <c r="S1005" s="407"/>
      <c r="T1005" s="407"/>
      <c r="U1005" s="407"/>
      <c r="V1005" s="407"/>
      <c r="W1005" s="407"/>
      <c r="X1005" s="407"/>
      <c r="Y1005" s="407">
        <v>580000</v>
      </c>
      <c r="Z1005" s="407"/>
      <c r="AA1005" s="407">
        <f t="shared" si="132"/>
        <v>22400</v>
      </c>
      <c r="AC1005" s="501"/>
      <c r="AD1005" s="512">
        <v>602400</v>
      </c>
      <c r="AE1005" s="512"/>
      <c r="AF1005" s="512"/>
      <c r="AG1005" s="507"/>
      <c r="AH1005" s="507"/>
    </row>
    <row r="1006" spans="1:34" s="362" customFormat="1" ht="51">
      <c r="A1006" s="608"/>
      <c r="B1006" s="608"/>
      <c r="C1006" s="306"/>
      <c r="D1006" s="14" t="s">
        <v>406</v>
      </c>
      <c r="E1006" s="292"/>
      <c r="F1006" s="143"/>
      <c r="G1006" s="292"/>
      <c r="H1006" s="427">
        <v>3122</v>
      </c>
      <c r="I1006" s="307">
        <f>450000+500000</f>
        <v>950000</v>
      </c>
      <c r="J1006" s="307"/>
      <c r="K1006" s="307"/>
      <c r="L1006" s="49"/>
      <c r="M1006" s="49">
        <v>450000</v>
      </c>
      <c r="N1006" s="407"/>
      <c r="O1006" s="407"/>
      <c r="P1006" s="407"/>
      <c r="Q1006" s="407"/>
      <c r="R1006" s="407"/>
      <c r="S1006" s="407">
        <v>225000</v>
      </c>
      <c r="T1006" s="407">
        <v>225000</v>
      </c>
      <c r="U1006" s="407"/>
      <c r="V1006" s="407"/>
      <c r="W1006" s="407"/>
      <c r="X1006" s="407">
        <v>500000</v>
      </c>
      <c r="Y1006" s="407"/>
      <c r="Z1006" s="407">
        <v>217500</v>
      </c>
      <c r="AA1006" s="407">
        <f aca="true" t="shared" si="135" ref="AA1006:AA1069">N1006+O1006+P1006+Q1006+R1006+S1006+T1006+U1006+V1006+W1006+X1006-Z1006</f>
        <v>732500</v>
      </c>
      <c r="AC1006" s="501"/>
      <c r="AD1006" s="512">
        <v>450000</v>
      </c>
      <c r="AE1006" s="512">
        <v>815731</v>
      </c>
      <c r="AF1006" s="512"/>
      <c r="AG1006" s="507" t="s">
        <v>732</v>
      </c>
      <c r="AH1006" s="507" t="s">
        <v>1629</v>
      </c>
    </row>
    <row r="1007" spans="1:34" s="362" customFormat="1" ht="31.5" hidden="1">
      <c r="A1007" s="608"/>
      <c r="B1007" s="608"/>
      <c r="C1007" s="306"/>
      <c r="D1007" s="14" t="s">
        <v>816</v>
      </c>
      <c r="E1007" s="292"/>
      <c r="F1007" s="143"/>
      <c r="G1007" s="292"/>
      <c r="H1007" s="427">
        <v>3142</v>
      </c>
      <c r="I1007" s="307">
        <f>80000-80000</f>
        <v>0</v>
      </c>
      <c r="J1007" s="307"/>
      <c r="K1007" s="307"/>
      <c r="L1007" s="49"/>
      <c r="M1007" s="49">
        <v>80000</v>
      </c>
      <c r="N1007" s="407"/>
      <c r="O1007" s="407"/>
      <c r="P1007" s="407"/>
      <c r="Q1007" s="407"/>
      <c r="R1007" s="407">
        <v>10000</v>
      </c>
      <c r="S1007" s="407"/>
      <c r="T1007" s="407">
        <v>35000</v>
      </c>
      <c r="U1007" s="407">
        <v>35000</v>
      </c>
      <c r="V1007" s="407"/>
      <c r="W1007" s="407">
        <v>-80000</v>
      </c>
      <c r="X1007" s="407"/>
      <c r="Y1007" s="407"/>
      <c r="Z1007" s="407"/>
      <c r="AA1007" s="407">
        <f t="shared" si="135"/>
        <v>0</v>
      </c>
      <c r="AC1007" s="501"/>
      <c r="AD1007" s="512">
        <v>80000</v>
      </c>
      <c r="AE1007" s="512"/>
      <c r="AF1007" s="512"/>
      <c r="AG1007" s="507"/>
      <c r="AH1007" s="507"/>
    </row>
    <row r="1008" spans="1:34" s="362" customFormat="1" ht="18.75" customHeight="1" hidden="1">
      <c r="A1008" s="608"/>
      <c r="B1008" s="608"/>
      <c r="C1008" s="306"/>
      <c r="D1008" s="14" t="s">
        <v>1561</v>
      </c>
      <c r="E1008" s="292"/>
      <c r="F1008" s="143"/>
      <c r="G1008" s="292"/>
      <c r="H1008" s="427">
        <v>3122</v>
      </c>
      <c r="I1008" s="307">
        <f>100000-100000</f>
        <v>0</v>
      </c>
      <c r="J1008" s="307"/>
      <c r="K1008" s="307"/>
      <c r="L1008" s="76"/>
      <c r="M1008" s="76">
        <v>100000</v>
      </c>
      <c r="N1008" s="407"/>
      <c r="O1008" s="407"/>
      <c r="P1008" s="407"/>
      <c r="Q1008" s="407"/>
      <c r="R1008" s="407"/>
      <c r="S1008" s="407"/>
      <c r="T1008" s="407">
        <v>30000</v>
      </c>
      <c r="U1008" s="407">
        <v>30000</v>
      </c>
      <c r="V1008" s="407">
        <v>40000</v>
      </c>
      <c r="W1008" s="407">
        <v>-100000</v>
      </c>
      <c r="X1008" s="407"/>
      <c r="Y1008" s="407"/>
      <c r="Z1008" s="407"/>
      <c r="AA1008" s="407">
        <f t="shared" si="135"/>
        <v>0</v>
      </c>
      <c r="AC1008" s="501"/>
      <c r="AD1008" s="512">
        <v>100000</v>
      </c>
      <c r="AE1008" s="512"/>
      <c r="AF1008" s="512"/>
      <c r="AG1008" s="507"/>
      <c r="AH1008" s="507"/>
    </row>
    <row r="1009" spans="1:34" s="362" customFormat="1" ht="53.25" customHeight="1">
      <c r="A1009" s="608"/>
      <c r="B1009" s="608"/>
      <c r="C1009" s="306"/>
      <c r="D1009" s="14" t="s">
        <v>1562</v>
      </c>
      <c r="E1009" s="292"/>
      <c r="F1009" s="143"/>
      <c r="G1009" s="292"/>
      <c r="H1009" s="427">
        <v>3142</v>
      </c>
      <c r="I1009" s="307">
        <v>24000</v>
      </c>
      <c r="J1009" s="307"/>
      <c r="K1009" s="307"/>
      <c r="L1009" s="76"/>
      <c r="M1009" s="76">
        <v>24000</v>
      </c>
      <c r="N1009" s="407"/>
      <c r="O1009" s="407"/>
      <c r="P1009" s="407"/>
      <c r="Q1009" s="407"/>
      <c r="R1009" s="407">
        <v>24000</v>
      </c>
      <c r="S1009" s="407"/>
      <c r="T1009" s="407"/>
      <c r="U1009" s="407"/>
      <c r="V1009" s="407"/>
      <c r="W1009" s="407"/>
      <c r="X1009" s="407"/>
      <c r="Y1009" s="407"/>
      <c r="Z1009" s="407"/>
      <c r="AA1009" s="407">
        <f t="shared" si="135"/>
        <v>24000</v>
      </c>
      <c r="AC1009" s="501"/>
      <c r="AD1009" s="512">
        <v>24000</v>
      </c>
      <c r="AE1009" s="512">
        <v>49684</v>
      </c>
      <c r="AF1009" s="512" t="s">
        <v>1044</v>
      </c>
      <c r="AG1009" s="507" t="s">
        <v>732</v>
      </c>
      <c r="AH1009" s="507" t="s">
        <v>1629</v>
      </c>
    </row>
    <row r="1010" spans="1:34" s="362" customFormat="1" ht="51">
      <c r="A1010" s="608"/>
      <c r="B1010" s="608"/>
      <c r="C1010" s="306"/>
      <c r="D1010" s="14" t="s">
        <v>1792</v>
      </c>
      <c r="E1010" s="292"/>
      <c r="F1010" s="143"/>
      <c r="G1010" s="292"/>
      <c r="H1010" s="427">
        <v>3142</v>
      </c>
      <c r="I1010" s="307">
        <v>50000</v>
      </c>
      <c r="J1010" s="307"/>
      <c r="K1010" s="307"/>
      <c r="L1010" s="76"/>
      <c r="M1010" s="76">
        <v>50000</v>
      </c>
      <c r="N1010" s="407"/>
      <c r="O1010" s="407"/>
      <c r="P1010" s="407"/>
      <c r="Q1010" s="407">
        <v>5000</v>
      </c>
      <c r="R1010" s="407"/>
      <c r="S1010" s="407">
        <v>45000</v>
      </c>
      <c r="T1010" s="407"/>
      <c r="U1010" s="407"/>
      <c r="V1010" s="407"/>
      <c r="W1010" s="407"/>
      <c r="X1010" s="407"/>
      <c r="Y1010" s="407"/>
      <c r="Z1010" s="407"/>
      <c r="AA1010" s="407">
        <f t="shared" si="135"/>
        <v>50000</v>
      </c>
      <c r="AC1010" s="501"/>
      <c r="AD1010" s="512">
        <v>50000</v>
      </c>
      <c r="AE1010" s="512">
        <v>882061</v>
      </c>
      <c r="AF1010" s="512" t="s">
        <v>1045</v>
      </c>
      <c r="AG1010" s="507" t="s">
        <v>732</v>
      </c>
      <c r="AH1010" s="507" t="s">
        <v>1629</v>
      </c>
    </row>
    <row r="1011" spans="1:34" s="362" customFormat="1" ht="15.75" hidden="1">
      <c r="A1011" s="608"/>
      <c r="B1011" s="608"/>
      <c r="C1011" s="306"/>
      <c r="D1011" s="14" t="s">
        <v>1793</v>
      </c>
      <c r="E1011" s="292"/>
      <c r="F1011" s="143"/>
      <c r="G1011" s="292"/>
      <c r="H1011" s="427">
        <v>3122</v>
      </c>
      <c r="I1011" s="307">
        <f>200000-200000</f>
        <v>0</v>
      </c>
      <c r="J1011" s="307"/>
      <c r="K1011" s="307"/>
      <c r="L1011" s="76"/>
      <c r="M1011" s="76">
        <v>200000</v>
      </c>
      <c r="N1011" s="407"/>
      <c r="O1011" s="407"/>
      <c r="P1011" s="407"/>
      <c r="Q1011" s="407"/>
      <c r="R1011" s="407"/>
      <c r="S1011" s="407"/>
      <c r="T1011" s="407"/>
      <c r="U1011" s="407"/>
      <c r="V1011" s="407"/>
      <c r="W1011" s="407">
        <f>200000-200000</f>
        <v>0</v>
      </c>
      <c r="X1011" s="407"/>
      <c r="Y1011" s="407">
        <f>200000-200000</f>
        <v>0</v>
      </c>
      <c r="Z1011" s="407"/>
      <c r="AA1011" s="407">
        <f t="shared" si="135"/>
        <v>0</v>
      </c>
      <c r="AC1011" s="501"/>
      <c r="AD1011" s="512"/>
      <c r="AE1011" s="512"/>
      <c r="AF1011" s="512"/>
      <c r="AG1011" s="507"/>
      <c r="AH1011" s="507"/>
    </row>
    <row r="1012" spans="1:34" s="362" customFormat="1" ht="51">
      <c r="A1012" s="608"/>
      <c r="B1012" s="608"/>
      <c r="C1012" s="306"/>
      <c r="D1012" s="374" t="s">
        <v>904</v>
      </c>
      <c r="E1012" s="292"/>
      <c r="F1012" s="143"/>
      <c r="G1012" s="292"/>
      <c r="H1012" s="427">
        <v>3142</v>
      </c>
      <c r="I1012" s="307">
        <f>30000+33730</f>
        <v>63730</v>
      </c>
      <c r="J1012" s="307"/>
      <c r="K1012" s="307"/>
      <c r="L1012" s="76"/>
      <c r="M1012" s="76">
        <v>30000</v>
      </c>
      <c r="N1012" s="407"/>
      <c r="O1012" s="407"/>
      <c r="P1012" s="407"/>
      <c r="Q1012" s="407"/>
      <c r="R1012" s="407">
        <v>5000</v>
      </c>
      <c r="S1012" s="407"/>
      <c r="T1012" s="407"/>
      <c r="U1012" s="407">
        <v>25000</v>
      </c>
      <c r="V1012" s="407"/>
      <c r="W1012" s="407"/>
      <c r="X1012" s="407">
        <v>33730</v>
      </c>
      <c r="Y1012" s="407"/>
      <c r="Z1012" s="407"/>
      <c r="AA1012" s="407">
        <f t="shared" si="135"/>
        <v>63730</v>
      </c>
      <c r="AC1012" s="501"/>
      <c r="AD1012" s="512">
        <v>30000</v>
      </c>
      <c r="AE1012" s="512" t="s">
        <v>1542</v>
      </c>
      <c r="AF1012" s="512" t="s">
        <v>1046</v>
      </c>
      <c r="AG1012" s="507" t="s">
        <v>1626</v>
      </c>
      <c r="AH1012" s="507" t="s">
        <v>1542</v>
      </c>
    </row>
    <row r="1013" spans="1:34" s="362" customFormat="1" ht="51">
      <c r="A1013" s="608"/>
      <c r="B1013" s="608"/>
      <c r="C1013" s="306"/>
      <c r="D1013" s="374" t="s">
        <v>403</v>
      </c>
      <c r="E1013" s="292"/>
      <c r="F1013" s="143"/>
      <c r="G1013" s="292"/>
      <c r="H1013" s="427">
        <v>3142</v>
      </c>
      <c r="I1013" s="307">
        <f>30000+48090</f>
        <v>78090</v>
      </c>
      <c r="J1013" s="307"/>
      <c r="K1013" s="307"/>
      <c r="L1013" s="76"/>
      <c r="M1013" s="76">
        <v>30000</v>
      </c>
      <c r="N1013" s="407"/>
      <c r="O1013" s="407"/>
      <c r="P1013" s="407"/>
      <c r="Q1013" s="407"/>
      <c r="R1013" s="407">
        <v>5000</v>
      </c>
      <c r="S1013" s="407"/>
      <c r="T1013" s="407"/>
      <c r="U1013" s="407">
        <v>25000</v>
      </c>
      <c r="V1013" s="407"/>
      <c r="W1013" s="407"/>
      <c r="X1013" s="407">
        <v>48090</v>
      </c>
      <c r="Y1013" s="407"/>
      <c r="Z1013" s="407"/>
      <c r="AA1013" s="407">
        <f t="shared" si="135"/>
        <v>78090</v>
      </c>
      <c r="AC1013" s="501"/>
      <c r="AD1013" s="512">
        <v>30000</v>
      </c>
      <c r="AE1013" s="512" t="s">
        <v>1542</v>
      </c>
      <c r="AF1013" s="512" t="s">
        <v>1047</v>
      </c>
      <c r="AG1013" s="507" t="s">
        <v>1626</v>
      </c>
      <c r="AH1013" s="507" t="s">
        <v>1542</v>
      </c>
    </row>
    <row r="1014" spans="1:34" s="362" customFormat="1" ht="47.25" hidden="1">
      <c r="A1014" s="608"/>
      <c r="B1014" s="608"/>
      <c r="C1014" s="306"/>
      <c r="D1014" s="13" t="s">
        <v>380</v>
      </c>
      <c r="E1014" s="292"/>
      <c r="F1014" s="143"/>
      <c r="G1014" s="292"/>
      <c r="H1014" s="427">
        <v>3122</v>
      </c>
      <c r="I1014" s="307">
        <f>90000-90000</f>
        <v>0</v>
      </c>
      <c r="J1014" s="307"/>
      <c r="K1014" s="307"/>
      <c r="L1014" s="76"/>
      <c r="M1014" s="76">
        <v>90000</v>
      </c>
      <c r="N1014" s="407"/>
      <c r="O1014" s="407"/>
      <c r="P1014" s="407"/>
      <c r="Q1014" s="407"/>
      <c r="R1014" s="407"/>
      <c r="S1014" s="407"/>
      <c r="T1014" s="407"/>
      <c r="U1014" s="407"/>
      <c r="V1014" s="407"/>
      <c r="W1014" s="407">
        <f>90000-90000</f>
        <v>0</v>
      </c>
      <c r="X1014" s="407"/>
      <c r="Y1014" s="407">
        <f>90000-90000</f>
        <v>0</v>
      </c>
      <c r="Z1014" s="407"/>
      <c r="AA1014" s="407">
        <f t="shared" si="135"/>
        <v>0</v>
      </c>
      <c r="AC1014" s="501"/>
      <c r="AD1014" s="512">
        <v>90000</v>
      </c>
      <c r="AE1014" s="512"/>
      <c r="AF1014" s="512"/>
      <c r="AG1014" s="507"/>
      <c r="AH1014" s="507"/>
    </row>
    <row r="1015" spans="1:34" s="362" customFormat="1" ht="51">
      <c r="A1015" s="608"/>
      <c r="B1015" s="608"/>
      <c r="C1015" s="306"/>
      <c r="D1015" s="375" t="s">
        <v>1437</v>
      </c>
      <c r="E1015" s="292"/>
      <c r="F1015" s="143"/>
      <c r="G1015" s="292"/>
      <c r="H1015" s="427">
        <v>3122</v>
      </c>
      <c r="I1015" s="307">
        <v>54500</v>
      </c>
      <c r="J1015" s="307"/>
      <c r="K1015" s="307"/>
      <c r="L1015" s="76"/>
      <c r="M1015" s="76">
        <v>54500</v>
      </c>
      <c r="N1015" s="407"/>
      <c r="O1015" s="407"/>
      <c r="P1015" s="407"/>
      <c r="Q1015" s="407"/>
      <c r="R1015" s="407">
        <v>54500</v>
      </c>
      <c r="S1015" s="407"/>
      <c r="T1015" s="407"/>
      <c r="U1015" s="407"/>
      <c r="V1015" s="407"/>
      <c r="W1015" s="407"/>
      <c r="X1015" s="407"/>
      <c r="Y1015" s="407"/>
      <c r="Z1015" s="407">
        <v>52773.35</v>
      </c>
      <c r="AA1015" s="407">
        <f t="shared" si="135"/>
        <v>1726.65</v>
      </c>
      <c r="AC1015" s="501"/>
      <c r="AD1015" s="512">
        <v>54500</v>
      </c>
      <c r="AE1015" s="512">
        <v>68416</v>
      </c>
      <c r="AF1015" s="512" t="s">
        <v>1048</v>
      </c>
      <c r="AG1015" s="507" t="s">
        <v>1049</v>
      </c>
      <c r="AH1015" s="507" t="s">
        <v>1629</v>
      </c>
    </row>
    <row r="1016" spans="1:34" s="362" customFormat="1" ht="114.75">
      <c r="A1016" s="608"/>
      <c r="B1016" s="608"/>
      <c r="C1016" s="306"/>
      <c r="D1016" s="375" t="s">
        <v>901</v>
      </c>
      <c r="E1016" s="292"/>
      <c r="F1016" s="143"/>
      <c r="G1016" s="292"/>
      <c r="H1016" s="427">
        <v>3142</v>
      </c>
      <c r="I1016" s="307">
        <f>43000+20000</f>
        <v>63000</v>
      </c>
      <c r="J1016" s="307"/>
      <c r="K1016" s="307"/>
      <c r="L1016" s="76"/>
      <c r="M1016" s="76">
        <v>43000</v>
      </c>
      <c r="N1016" s="407"/>
      <c r="O1016" s="407"/>
      <c r="P1016" s="407"/>
      <c r="Q1016" s="407"/>
      <c r="R1016" s="407"/>
      <c r="S1016" s="407">
        <v>15000</v>
      </c>
      <c r="T1016" s="407">
        <v>14000</v>
      </c>
      <c r="U1016" s="407">
        <v>14000</v>
      </c>
      <c r="V1016" s="407"/>
      <c r="W1016" s="407"/>
      <c r="X1016" s="407">
        <v>20000</v>
      </c>
      <c r="Y1016" s="407"/>
      <c r="Z1016" s="407">
        <f>11195.64+2195.07+26123.16+567.81</f>
        <v>40081.68</v>
      </c>
      <c r="AA1016" s="407">
        <f t="shared" si="135"/>
        <v>22918.32</v>
      </c>
      <c r="AC1016" s="501"/>
      <c r="AD1016" s="512">
        <v>43000</v>
      </c>
      <c r="AE1016" s="512">
        <v>42770</v>
      </c>
      <c r="AF1016" s="512" t="s">
        <v>1050</v>
      </c>
      <c r="AG1016" s="507" t="s">
        <v>732</v>
      </c>
      <c r="AH1016" s="507" t="s">
        <v>1629</v>
      </c>
    </row>
    <row r="1017" spans="1:34" s="362" customFormat="1" ht="114.75">
      <c r="A1017" s="608"/>
      <c r="B1017" s="608"/>
      <c r="C1017" s="306"/>
      <c r="D1017" s="375" t="s">
        <v>326</v>
      </c>
      <c r="E1017" s="292"/>
      <c r="F1017" s="143"/>
      <c r="G1017" s="292"/>
      <c r="H1017" s="427">
        <v>3142</v>
      </c>
      <c r="I1017" s="307">
        <v>98000</v>
      </c>
      <c r="J1017" s="307"/>
      <c r="K1017" s="307"/>
      <c r="L1017" s="76"/>
      <c r="M1017" s="76">
        <v>98000</v>
      </c>
      <c r="N1017" s="407"/>
      <c r="O1017" s="407"/>
      <c r="P1017" s="407"/>
      <c r="Q1017" s="407"/>
      <c r="R1017" s="407"/>
      <c r="S1017" s="407">
        <v>30000</v>
      </c>
      <c r="T1017" s="407">
        <v>34000</v>
      </c>
      <c r="U1017" s="407">
        <v>34000</v>
      </c>
      <c r="V1017" s="407"/>
      <c r="W1017" s="407"/>
      <c r="X1017" s="407"/>
      <c r="Y1017" s="407"/>
      <c r="Z1017" s="407">
        <f>24982.56+4211.73</f>
        <v>29194.29</v>
      </c>
      <c r="AA1017" s="407">
        <f t="shared" si="135"/>
        <v>68805.71</v>
      </c>
      <c r="AC1017" s="501"/>
      <c r="AD1017" s="512">
        <v>98000</v>
      </c>
      <c r="AE1017" s="512">
        <v>97504</v>
      </c>
      <c r="AF1017" s="512" t="s">
        <v>230</v>
      </c>
      <c r="AG1017" s="507" t="s">
        <v>732</v>
      </c>
      <c r="AH1017" s="507" t="s">
        <v>1629</v>
      </c>
    </row>
    <row r="1018" spans="1:34" s="362" customFormat="1" ht="127.5">
      <c r="A1018" s="608"/>
      <c r="B1018" s="608"/>
      <c r="C1018" s="306"/>
      <c r="D1018" s="375" t="s">
        <v>123</v>
      </c>
      <c r="E1018" s="292"/>
      <c r="F1018" s="143"/>
      <c r="G1018" s="292"/>
      <c r="H1018" s="427">
        <v>3142</v>
      </c>
      <c r="I1018" s="307">
        <v>157000</v>
      </c>
      <c r="J1018" s="307"/>
      <c r="K1018" s="307"/>
      <c r="L1018" s="76"/>
      <c r="M1018" s="76">
        <v>157000</v>
      </c>
      <c r="N1018" s="407"/>
      <c r="O1018" s="407"/>
      <c r="P1018" s="407"/>
      <c r="Q1018" s="407"/>
      <c r="R1018" s="407"/>
      <c r="S1018" s="407">
        <v>50000</v>
      </c>
      <c r="T1018" s="407">
        <v>50000</v>
      </c>
      <c r="U1018" s="407">
        <v>57000</v>
      </c>
      <c r="V1018" s="407"/>
      <c r="W1018" s="407"/>
      <c r="X1018" s="407"/>
      <c r="Y1018" s="407"/>
      <c r="Z1018" s="407">
        <f>43183.44+5798.57</f>
        <v>48982.01</v>
      </c>
      <c r="AA1018" s="407">
        <f t="shared" si="135"/>
        <v>108017.99</v>
      </c>
      <c r="AC1018" s="501"/>
      <c r="AD1018" s="512">
        <v>157000</v>
      </c>
      <c r="AE1018" s="512">
        <v>156612</v>
      </c>
      <c r="AF1018" s="512" t="s">
        <v>1669</v>
      </c>
      <c r="AG1018" s="507" t="s">
        <v>1049</v>
      </c>
      <c r="AH1018" s="507" t="s">
        <v>1629</v>
      </c>
    </row>
    <row r="1019" spans="1:34" s="362" customFormat="1" ht="71.25" customHeight="1">
      <c r="A1019" s="608"/>
      <c r="B1019" s="608"/>
      <c r="C1019" s="306"/>
      <c r="D1019" s="375" t="s">
        <v>124</v>
      </c>
      <c r="E1019" s="292"/>
      <c r="F1019" s="143"/>
      <c r="G1019" s="292"/>
      <c r="H1019" s="427">
        <v>3142</v>
      </c>
      <c r="I1019" s="307">
        <v>8531759</v>
      </c>
      <c r="J1019" s="307"/>
      <c r="K1019" s="307"/>
      <c r="L1019" s="76"/>
      <c r="M1019" s="76">
        <v>8531759</v>
      </c>
      <c r="N1019" s="407"/>
      <c r="O1019" s="407"/>
      <c r="P1019" s="407"/>
      <c r="Q1019" s="407"/>
      <c r="R1019" s="407">
        <v>2500000</v>
      </c>
      <c r="S1019" s="407"/>
      <c r="T1019" s="407">
        <v>2000000</v>
      </c>
      <c r="U1019" s="407">
        <f>4031759-103500-1000000</f>
        <v>2928259</v>
      </c>
      <c r="V1019" s="407"/>
      <c r="W1019" s="407">
        <v>1000000</v>
      </c>
      <c r="X1019" s="407"/>
      <c r="Y1019" s="407">
        <v>103500</v>
      </c>
      <c r="Z1019" s="407">
        <f>2492565.02+2798365.82+38346.93+46385.45</f>
        <v>5375663.22</v>
      </c>
      <c r="AA1019" s="407">
        <f t="shared" si="135"/>
        <v>3052595.78</v>
      </c>
      <c r="AC1019" s="501"/>
      <c r="AD1019" s="512">
        <v>8531759</v>
      </c>
      <c r="AE1019" s="512">
        <v>8707339</v>
      </c>
      <c r="AF1019" s="512" t="s">
        <v>1670</v>
      </c>
      <c r="AG1019" s="507" t="s">
        <v>1049</v>
      </c>
      <c r="AH1019" s="507" t="s">
        <v>1671</v>
      </c>
    </row>
    <row r="1020" spans="1:34" s="362" customFormat="1" ht="31.5">
      <c r="A1020" s="608"/>
      <c r="B1020" s="608"/>
      <c r="C1020" s="306"/>
      <c r="D1020" s="375" t="s">
        <v>1601</v>
      </c>
      <c r="E1020" s="292"/>
      <c r="F1020" s="143"/>
      <c r="G1020" s="292"/>
      <c r="H1020" s="427">
        <v>3142</v>
      </c>
      <c r="I1020" s="307">
        <v>700000</v>
      </c>
      <c r="J1020" s="307"/>
      <c r="K1020" s="307"/>
      <c r="L1020" s="76"/>
      <c r="M1020" s="76">
        <v>700000</v>
      </c>
      <c r="N1020" s="407"/>
      <c r="O1020" s="407"/>
      <c r="P1020" s="407"/>
      <c r="Q1020" s="407"/>
      <c r="R1020" s="407">
        <v>700000</v>
      </c>
      <c r="S1020" s="407"/>
      <c r="T1020" s="407"/>
      <c r="U1020" s="407"/>
      <c r="V1020" s="407"/>
      <c r="W1020" s="407"/>
      <c r="X1020" s="407"/>
      <c r="Y1020" s="407"/>
      <c r="Z1020" s="407"/>
      <c r="AA1020" s="407">
        <f t="shared" si="135"/>
        <v>700000</v>
      </c>
      <c r="AC1020" s="501"/>
      <c r="AD1020" s="512">
        <v>700000</v>
      </c>
      <c r="AE1020" s="512"/>
      <c r="AF1020" s="512"/>
      <c r="AG1020" s="507"/>
      <c r="AH1020" s="507"/>
    </row>
    <row r="1021" spans="1:34" s="362" customFormat="1" ht="31.5">
      <c r="A1021" s="608"/>
      <c r="B1021" s="608"/>
      <c r="C1021" s="306"/>
      <c r="D1021" s="375" t="s">
        <v>73</v>
      </c>
      <c r="E1021" s="292"/>
      <c r="F1021" s="143"/>
      <c r="G1021" s="292"/>
      <c r="H1021" s="427">
        <v>3142</v>
      </c>
      <c r="I1021" s="307">
        <v>600000</v>
      </c>
      <c r="J1021" s="307"/>
      <c r="K1021" s="307"/>
      <c r="L1021" s="76"/>
      <c r="M1021" s="76">
        <v>600000</v>
      </c>
      <c r="N1021" s="407"/>
      <c r="O1021" s="407"/>
      <c r="P1021" s="407"/>
      <c r="Q1021" s="407"/>
      <c r="R1021" s="407"/>
      <c r="S1021" s="407">
        <v>600000</v>
      </c>
      <c r="T1021" s="407"/>
      <c r="U1021" s="407"/>
      <c r="V1021" s="407"/>
      <c r="W1021" s="407"/>
      <c r="X1021" s="407"/>
      <c r="Y1021" s="407"/>
      <c r="Z1021" s="407"/>
      <c r="AA1021" s="407">
        <f t="shared" si="135"/>
        <v>600000</v>
      </c>
      <c r="AC1021" s="501"/>
      <c r="AD1021" s="512">
        <v>600000</v>
      </c>
      <c r="AE1021" s="512"/>
      <c r="AF1021" s="512"/>
      <c r="AG1021" s="507"/>
      <c r="AH1021" s="507"/>
    </row>
    <row r="1022" spans="1:34" s="362" customFormat="1" ht="31.5">
      <c r="A1022" s="608"/>
      <c r="B1022" s="608"/>
      <c r="C1022" s="306"/>
      <c r="D1022" s="375" t="s">
        <v>1829</v>
      </c>
      <c r="E1022" s="292"/>
      <c r="F1022" s="143"/>
      <c r="G1022" s="292"/>
      <c r="H1022" s="427">
        <v>3142</v>
      </c>
      <c r="I1022" s="307">
        <f>1500000-800000</f>
        <v>700000</v>
      </c>
      <c r="J1022" s="307"/>
      <c r="K1022" s="307"/>
      <c r="L1022" s="76"/>
      <c r="M1022" s="76">
        <v>1500000</v>
      </c>
      <c r="N1022" s="407"/>
      <c r="O1022" s="407"/>
      <c r="P1022" s="407"/>
      <c r="Q1022" s="407"/>
      <c r="R1022" s="407">
        <f>800000-300000</f>
        <v>500000</v>
      </c>
      <c r="S1022" s="407">
        <v>700000</v>
      </c>
      <c r="T1022" s="407"/>
      <c r="U1022" s="407"/>
      <c r="V1022" s="407">
        <v>300000</v>
      </c>
      <c r="W1022" s="407">
        <v>-800000</v>
      </c>
      <c r="X1022" s="407"/>
      <c r="Y1022" s="407"/>
      <c r="Z1022" s="407"/>
      <c r="AA1022" s="407">
        <f t="shared" si="135"/>
        <v>700000</v>
      </c>
      <c r="AC1022" s="501"/>
      <c r="AD1022" s="512">
        <v>1500000</v>
      </c>
      <c r="AE1022" s="512"/>
      <c r="AF1022" s="512"/>
      <c r="AG1022" s="507"/>
      <c r="AH1022" s="507"/>
    </row>
    <row r="1023" spans="1:34" s="362" customFormat="1" ht="31.5">
      <c r="A1023" s="608"/>
      <c r="B1023" s="608"/>
      <c r="C1023" s="306"/>
      <c r="D1023" s="375" t="s">
        <v>125</v>
      </c>
      <c r="E1023" s="292"/>
      <c r="F1023" s="143"/>
      <c r="G1023" s="292"/>
      <c r="H1023" s="427">
        <v>3142</v>
      </c>
      <c r="I1023" s="307">
        <v>600000</v>
      </c>
      <c r="J1023" s="307"/>
      <c r="K1023" s="307"/>
      <c r="L1023" s="76"/>
      <c r="M1023" s="76">
        <v>600000</v>
      </c>
      <c r="N1023" s="407"/>
      <c r="O1023" s="407"/>
      <c r="P1023" s="407"/>
      <c r="Q1023" s="407"/>
      <c r="R1023" s="407"/>
      <c r="S1023" s="407">
        <v>600000</v>
      </c>
      <c r="T1023" s="407"/>
      <c r="U1023" s="407"/>
      <c r="V1023" s="407"/>
      <c r="W1023" s="407"/>
      <c r="X1023" s="407"/>
      <c r="Y1023" s="407"/>
      <c r="Z1023" s="407"/>
      <c r="AA1023" s="407">
        <f t="shared" si="135"/>
        <v>600000</v>
      </c>
      <c r="AC1023" s="501"/>
      <c r="AD1023" s="512">
        <v>600000</v>
      </c>
      <c r="AE1023" s="512"/>
      <c r="AF1023" s="512"/>
      <c r="AG1023" s="507"/>
      <c r="AH1023" s="507"/>
    </row>
    <row r="1024" spans="1:34" s="362" customFormat="1" ht="31.5">
      <c r="A1024" s="608"/>
      <c r="B1024" s="608"/>
      <c r="C1024" s="306"/>
      <c r="D1024" s="375" t="s">
        <v>63</v>
      </c>
      <c r="E1024" s="292"/>
      <c r="F1024" s="143"/>
      <c r="G1024" s="292"/>
      <c r="H1024" s="427">
        <v>3142</v>
      </c>
      <c r="I1024" s="307">
        <v>1600000</v>
      </c>
      <c r="J1024" s="307"/>
      <c r="K1024" s="307"/>
      <c r="L1024" s="76"/>
      <c r="M1024" s="76">
        <v>1600000</v>
      </c>
      <c r="N1024" s="407"/>
      <c r="O1024" s="407"/>
      <c r="P1024" s="407"/>
      <c r="Q1024" s="407"/>
      <c r="R1024" s="407"/>
      <c r="S1024" s="407">
        <v>800000</v>
      </c>
      <c r="T1024" s="407">
        <v>800000</v>
      </c>
      <c r="U1024" s="407"/>
      <c r="V1024" s="407"/>
      <c r="W1024" s="407"/>
      <c r="X1024" s="407"/>
      <c r="Y1024" s="407"/>
      <c r="Z1024" s="407"/>
      <c r="AA1024" s="407">
        <f t="shared" si="135"/>
        <v>1600000</v>
      </c>
      <c r="AC1024" s="501"/>
      <c r="AD1024" s="512">
        <v>1600000</v>
      </c>
      <c r="AE1024" s="512"/>
      <c r="AF1024" s="512"/>
      <c r="AG1024" s="507"/>
      <c r="AH1024" s="507"/>
    </row>
    <row r="1025" spans="1:34" s="362" customFormat="1" ht="31.5">
      <c r="A1025" s="608"/>
      <c r="B1025" s="608"/>
      <c r="C1025" s="306"/>
      <c r="D1025" s="375" t="s">
        <v>1733</v>
      </c>
      <c r="E1025" s="292"/>
      <c r="F1025" s="143"/>
      <c r="G1025" s="292"/>
      <c r="H1025" s="427">
        <v>3142</v>
      </c>
      <c r="I1025" s="307">
        <v>1947976</v>
      </c>
      <c r="J1025" s="307"/>
      <c r="K1025" s="307"/>
      <c r="L1025" s="76"/>
      <c r="M1025" s="76">
        <v>1947976</v>
      </c>
      <c r="N1025" s="407"/>
      <c r="O1025" s="407"/>
      <c r="P1025" s="407"/>
      <c r="Q1025" s="407"/>
      <c r="R1025" s="407">
        <v>700000</v>
      </c>
      <c r="S1025" s="407">
        <v>800000</v>
      </c>
      <c r="T1025" s="407">
        <v>447976</v>
      </c>
      <c r="U1025" s="407"/>
      <c r="V1025" s="407"/>
      <c r="W1025" s="407"/>
      <c r="X1025" s="407"/>
      <c r="Y1025" s="407"/>
      <c r="Z1025" s="407"/>
      <c r="AA1025" s="407">
        <f t="shared" si="135"/>
        <v>1947976</v>
      </c>
      <c r="AC1025" s="501"/>
      <c r="AD1025" s="512">
        <v>1947976</v>
      </c>
      <c r="AE1025" s="512"/>
      <c r="AF1025" s="512"/>
      <c r="AG1025" s="507"/>
      <c r="AH1025" s="507"/>
    </row>
    <row r="1026" spans="1:34" s="362" customFormat="1" ht="114.75">
      <c r="A1026" s="608"/>
      <c r="B1026" s="608"/>
      <c r="C1026" s="306"/>
      <c r="D1026" s="659" t="s">
        <v>677</v>
      </c>
      <c r="E1026" s="292"/>
      <c r="F1026" s="143"/>
      <c r="G1026" s="292"/>
      <c r="H1026" s="674">
        <v>3122</v>
      </c>
      <c r="I1026" s="307">
        <f>11161659-4920125.75</f>
        <v>6241533.25</v>
      </c>
      <c r="J1026" s="307"/>
      <c r="K1026" s="307"/>
      <c r="L1026" s="76"/>
      <c r="M1026" s="76">
        <v>11161659</v>
      </c>
      <c r="N1026" s="407"/>
      <c r="O1026" s="407"/>
      <c r="P1026" s="407"/>
      <c r="Q1026" s="407"/>
      <c r="R1026" s="407">
        <f>4000000-4000000</f>
        <v>0</v>
      </c>
      <c r="S1026" s="407"/>
      <c r="T1026" s="407">
        <f>2000000-920125.75</f>
        <v>1079874.25</v>
      </c>
      <c r="U1026" s="407">
        <v>4000000</v>
      </c>
      <c r="V1026" s="407">
        <v>1161659</v>
      </c>
      <c r="W1026" s="407"/>
      <c r="X1026" s="407"/>
      <c r="Y1026" s="407"/>
      <c r="Z1026" s="407">
        <f>865660.3+89659.23</f>
        <v>955319.53</v>
      </c>
      <c r="AA1026" s="407">
        <f t="shared" si="135"/>
        <v>5286213.72</v>
      </c>
      <c r="AC1026" s="501"/>
      <c r="AD1026" s="512">
        <v>6241533.25</v>
      </c>
      <c r="AE1026" s="512">
        <v>17510136</v>
      </c>
      <c r="AF1026" s="512" t="s">
        <v>1672</v>
      </c>
      <c r="AG1026" s="507" t="s">
        <v>1049</v>
      </c>
      <c r="AH1026" s="507" t="s">
        <v>1673</v>
      </c>
    </row>
    <row r="1027" spans="1:34" s="362" customFormat="1" ht="15.75">
      <c r="A1027" s="608"/>
      <c r="B1027" s="608"/>
      <c r="C1027" s="306"/>
      <c r="D1027" s="660"/>
      <c r="E1027" s="292"/>
      <c r="F1027" s="143"/>
      <c r="G1027" s="292"/>
      <c r="H1027" s="675"/>
      <c r="I1027" s="494">
        <f>4920125.75</f>
        <v>4920125.75</v>
      </c>
      <c r="J1027" s="494"/>
      <c r="K1027" s="494"/>
      <c r="L1027" s="495"/>
      <c r="M1027" s="495"/>
      <c r="N1027" s="496"/>
      <c r="O1027" s="496"/>
      <c r="P1027" s="496"/>
      <c r="Q1027" s="496"/>
      <c r="R1027" s="496">
        <v>4000000</v>
      </c>
      <c r="S1027" s="496"/>
      <c r="T1027" s="496">
        <v>920125.75</v>
      </c>
      <c r="U1027" s="496"/>
      <c r="V1027" s="496"/>
      <c r="W1027" s="496"/>
      <c r="X1027" s="496"/>
      <c r="Y1027" s="496"/>
      <c r="Z1027" s="496">
        <f>4809261.43+110864.32</f>
        <v>4920125.75</v>
      </c>
      <c r="AA1027" s="407">
        <f t="shared" si="135"/>
        <v>0</v>
      </c>
      <c r="AB1027" s="362" t="s">
        <v>745</v>
      </c>
      <c r="AC1027" s="501"/>
      <c r="AD1027" s="512">
        <v>4920125.75</v>
      </c>
      <c r="AE1027" s="512"/>
      <c r="AF1027" s="512"/>
      <c r="AG1027" s="507"/>
      <c r="AH1027" s="507"/>
    </row>
    <row r="1028" spans="1:34" s="362" customFormat="1" ht="127.5">
      <c r="A1028" s="608"/>
      <c r="B1028" s="608"/>
      <c r="C1028" s="306"/>
      <c r="D1028" s="375" t="s">
        <v>170</v>
      </c>
      <c r="E1028" s="292"/>
      <c r="F1028" s="143"/>
      <c r="G1028" s="292"/>
      <c r="H1028" s="427">
        <v>3142</v>
      </c>
      <c r="I1028" s="307">
        <v>990000</v>
      </c>
      <c r="J1028" s="307"/>
      <c r="K1028" s="307"/>
      <c r="L1028" s="76"/>
      <c r="M1028" s="76">
        <v>990000</v>
      </c>
      <c r="N1028" s="407"/>
      <c r="O1028" s="407"/>
      <c r="P1028" s="407"/>
      <c r="Q1028" s="407"/>
      <c r="R1028" s="407">
        <v>300000</v>
      </c>
      <c r="S1028" s="407"/>
      <c r="T1028" s="407"/>
      <c r="U1028" s="407"/>
      <c r="V1028" s="407">
        <f>990000-300000</f>
        <v>690000</v>
      </c>
      <c r="W1028" s="407"/>
      <c r="X1028" s="407"/>
      <c r="Y1028" s="407"/>
      <c r="Z1028" s="407">
        <f>288546.84+7977.96</f>
        <v>296524.8</v>
      </c>
      <c r="AA1028" s="407">
        <f t="shared" si="135"/>
        <v>693475.2</v>
      </c>
      <c r="AC1028" s="501"/>
      <c r="AD1028" s="512">
        <v>990000</v>
      </c>
      <c r="AE1028" s="512">
        <v>998232</v>
      </c>
      <c r="AF1028" s="512" t="s">
        <v>1674</v>
      </c>
      <c r="AG1028" s="507" t="s">
        <v>1049</v>
      </c>
      <c r="AH1028" s="507" t="s">
        <v>1629</v>
      </c>
    </row>
    <row r="1029" spans="1:34" s="362" customFormat="1" ht="15.75" hidden="1">
      <c r="A1029" s="608"/>
      <c r="B1029" s="608"/>
      <c r="C1029" s="306"/>
      <c r="D1029" s="375" t="s">
        <v>126</v>
      </c>
      <c r="E1029" s="292"/>
      <c r="F1029" s="143"/>
      <c r="G1029" s="292"/>
      <c r="H1029" s="427">
        <v>3142</v>
      </c>
      <c r="I1029" s="307">
        <f>20000-20000</f>
        <v>0</v>
      </c>
      <c r="J1029" s="307"/>
      <c r="K1029" s="307"/>
      <c r="L1029" s="76"/>
      <c r="M1029" s="76">
        <v>20000</v>
      </c>
      <c r="N1029" s="407"/>
      <c r="O1029" s="407"/>
      <c r="P1029" s="407"/>
      <c r="Q1029" s="407"/>
      <c r="R1029" s="407">
        <v>5000</v>
      </c>
      <c r="S1029" s="407"/>
      <c r="T1029" s="407"/>
      <c r="U1029" s="407">
        <v>15000</v>
      </c>
      <c r="V1029" s="407"/>
      <c r="W1029" s="407">
        <v>-20000</v>
      </c>
      <c r="X1029" s="407"/>
      <c r="Y1029" s="407"/>
      <c r="Z1029" s="407"/>
      <c r="AA1029" s="407">
        <f t="shared" si="135"/>
        <v>0</v>
      </c>
      <c r="AC1029" s="501"/>
      <c r="AD1029" s="512">
        <v>20000</v>
      </c>
      <c r="AE1029" s="512"/>
      <c r="AF1029" s="512"/>
      <c r="AG1029" s="507"/>
      <c r="AH1029" s="507"/>
    </row>
    <row r="1030" spans="1:34" s="362" customFormat="1" ht="51" customHeight="1">
      <c r="A1030" s="608"/>
      <c r="B1030" s="608"/>
      <c r="C1030" s="306"/>
      <c r="D1030" s="375" t="s">
        <v>127</v>
      </c>
      <c r="E1030" s="292"/>
      <c r="F1030" s="143"/>
      <c r="G1030" s="292"/>
      <c r="H1030" s="427">
        <v>3142</v>
      </c>
      <c r="I1030" s="307">
        <v>334370</v>
      </c>
      <c r="J1030" s="307"/>
      <c r="K1030" s="307"/>
      <c r="L1030" s="76"/>
      <c r="M1030" s="76">
        <v>334370</v>
      </c>
      <c r="N1030" s="407"/>
      <c r="O1030" s="407"/>
      <c r="P1030" s="407"/>
      <c r="Q1030" s="407"/>
      <c r="R1030" s="407"/>
      <c r="S1030" s="407"/>
      <c r="T1030" s="407">
        <v>334370</v>
      </c>
      <c r="U1030" s="407"/>
      <c r="V1030" s="407"/>
      <c r="W1030" s="407"/>
      <c r="X1030" s="407"/>
      <c r="Y1030" s="407"/>
      <c r="Z1030" s="407"/>
      <c r="AA1030" s="407">
        <f t="shared" si="135"/>
        <v>334370</v>
      </c>
      <c r="AC1030" s="501"/>
      <c r="AD1030" s="512">
        <v>334370</v>
      </c>
      <c r="AE1030" s="512"/>
      <c r="AF1030" s="512" t="s">
        <v>1675</v>
      </c>
      <c r="AG1030" s="507"/>
      <c r="AH1030" s="507"/>
    </row>
    <row r="1031" spans="1:34" s="362" customFormat="1" ht="15.75">
      <c r="A1031" s="608"/>
      <c r="B1031" s="608"/>
      <c r="C1031" s="306"/>
      <c r="D1031" s="375" t="s">
        <v>2021</v>
      </c>
      <c r="E1031" s="292"/>
      <c r="F1031" s="143"/>
      <c r="G1031" s="292"/>
      <c r="H1031" s="427">
        <v>3142</v>
      </c>
      <c r="I1031" s="307">
        <v>80000</v>
      </c>
      <c r="J1031" s="307"/>
      <c r="K1031" s="307"/>
      <c r="L1031" s="76"/>
      <c r="M1031" s="76">
        <v>80000</v>
      </c>
      <c r="N1031" s="407"/>
      <c r="O1031" s="407"/>
      <c r="P1031" s="407"/>
      <c r="Q1031" s="407"/>
      <c r="R1031" s="407"/>
      <c r="S1031" s="407">
        <v>15000</v>
      </c>
      <c r="T1031" s="407">
        <v>30000</v>
      </c>
      <c r="U1031" s="407">
        <v>35000</v>
      </c>
      <c r="V1031" s="407"/>
      <c r="W1031" s="407"/>
      <c r="X1031" s="407"/>
      <c r="Y1031" s="407"/>
      <c r="Z1031" s="407">
        <f>2221+33424.5+22695.5</f>
        <v>58341</v>
      </c>
      <c r="AA1031" s="407">
        <f t="shared" si="135"/>
        <v>21659</v>
      </c>
      <c r="AC1031" s="501"/>
      <c r="AD1031" s="512">
        <v>80000</v>
      </c>
      <c r="AE1031" s="512"/>
      <c r="AF1031" s="512"/>
      <c r="AG1031" s="507"/>
      <c r="AH1031" s="507"/>
    </row>
    <row r="1032" spans="1:34" s="362" customFormat="1" ht="51">
      <c r="A1032" s="608"/>
      <c r="B1032" s="608"/>
      <c r="C1032" s="306"/>
      <c r="D1032" s="262" t="s">
        <v>128</v>
      </c>
      <c r="E1032" s="292"/>
      <c r="F1032" s="143"/>
      <c r="G1032" s="292"/>
      <c r="H1032" s="427">
        <v>3142</v>
      </c>
      <c r="I1032" s="307">
        <v>580000</v>
      </c>
      <c r="J1032" s="307"/>
      <c r="K1032" s="307"/>
      <c r="L1032" s="76"/>
      <c r="M1032" s="76">
        <v>580000</v>
      </c>
      <c r="N1032" s="407"/>
      <c r="O1032" s="407"/>
      <c r="P1032" s="407"/>
      <c r="Q1032" s="407"/>
      <c r="R1032" s="407">
        <v>30000</v>
      </c>
      <c r="S1032" s="407">
        <v>250000</v>
      </c>
      <c r="T1032" s="407">
        <v>300000</v>
      </c>
      <c r="U1032" s="407"/>
      <c r="V1032" s="407"/>
      <c r="W1032" s="407"/>
      <c r="X1032" s="407"/>
      <c r="Y1032" s="407"/>
      <c r="Z1032" s="407">
        <f>10413.9+1320+4463.1</f>
        <v>16197</v>
      </c>
      <c r="AA1032" s="407">
        <f t="shared" si="135"/>
        <v>563803</v>
      </c>
      <c r="AC1032" s="501"/>
      <c r="AD1032" s="512">
        <v>580000</v>
      </c>
      <c r="AE1032" s="512" t="s">
        <v>1542</v>
      </c>
      <c r="AF1032" s="512"/>
      <c r="AG1032" s="507" t="s">
        <v>1049</v>
      </c>
      <c r="AH1032" s="507" t="s">
        <v>1542</v>
      </c>
    </row>
    <row r="1033" spans="1:34" s="362" customFormat="1" ht="15.75">
      <c r="A1033" s="608"/>
      <c r="B1033" s="608"/>
      <c r="C1033" s="306"/>
      <c r="D1033" s="262" t="s">
        <v>129</v>
      </c>
      <c r="E1033" s="292"/>
      <c r="F1033" s="143"/>
      <c r="G1033" s="292"/>
      <c r="H1033" s="427">
        <v>3142</v>
      </c>
      <c r="I1033" s="307">
        <v>50000</v>
      </c>
      <c r="J1033" s="307"/>
      <c r="K1033" s="307"/>
      <c r="L1033" s="76"/>
      <c r="M1033" s="76">
        <v>50000</v>
      </c>
      <c r="N1033" s="407"/>
      <c r="O1033" s="407"/>
      <c r="P1033" s="407"/>
      <c r="Q1033" s="407"/>
      <c r="R1033" s="407"/>
      <c r="S1033" s="407"/>
      <c r="T1033" s="407"/>
      <c r="U1033" s="407">
        <v>10000</v>
      </c>
      <c r="V1033" s="407">
        <v>20000</v>
      </c>
      <c r="W1033" s="407">
        <v>20000</v>
      </c>
      <c r="X1033" s="407"/>
      <c r="Y1033" s="407"/>
      <c r="Z1033" s="407"/>
      <c r="AA1033" s="407">
        <f t="shared" si="135"/>
        <v>50000</v>
      </c>
      <c r="AC1033" s="501"/>
      <c r="AD1033" s="512">
        <v>50000</v>
      </c>
      <c r="AE1033" s="512"/>
      <c r="AF1033" s="512"/>
      <c r="AG1033" s="507"/>
      <c r="AH1033" s="507"/>
    </row>
    <row r="1034" spans="1:34" s="362" customFormat="1" ht="47.25">
      <c r="A1034" s="608"/>
      <c r="B1034" s="608"/>
      <c r="C1034" s="306"/>
      <c r="D1034" s="262" t="s">
        <v>886</v>
      </c>
      <c r="E1034" s="292"/>
      <c r="F1034" s="143"/>
      <c r="G1034" s="292"/>
      <c r="H1034" s="427">
        <v>3142</v>
      </c>
      <c r="I1034" s="307">
        <v>400000</v>
      </c>
      <c r="J1034" s="307"/>
      <c r="K1034" s="307"/>
      <c r="L1034" s="76"/>
      <c r="M1034" s="76">
        <v>400000</v>
      </c>
      <c r="N1034" s="407"/>
      <c r="O1034" s="407"/>
      <c r="P1034" s="407"/>
      <c r="Q1034" s="407"/>
      <c r="R1034" s="407"/>
      <c r="S1034" s="407"/>
      <c r="T1034" s="407"/>
      <c r="U1034" s="407">
        <v>200000</v>
      </c>
      <c r="V1034" s="407">
        <v>200000</v>
      </c>
      <c r="W1034" s="407"/>
      <c r="X1034" s="407"/>
      <c r="Y1034" s="407"/>
      <c r="Z1034" s="407"/>
      <c r="AA1034" s="407">
        <f t="shared" si="135"/>
        <v>400000</v>
      </c>
      <c r="AC1034" s="501"/>
      <c r="AD1034" s="512">
        <v>400000</v>
      </c>
      <c r="AE1034" s="512"/>
      <c r="AF1034" s="512" t="s">
        <v>730</v>
      </c>
      <c r="AG1034" s="507"/>
      <c r="AH1034" s="507"/>
    </row>
    <row r="1035" spans="1:34" s="362" customFormat="1" ht="47.25">
      <c r="A1035" s="608"/>
      <c r="B1035" s="608"/>
      <c r="C1035" s="306"/>
      <c r="D1035" s="375" t="s">
        <v>71</v>
      </c>
      <c r="E1035" s="292"/>
      <c r="F1035" s="143"/>
      <c r="G1035" s="292"/>
      <c r="H1035" s="427">
        <v>3122</v>
      </c>
      <c r="I1035" s="307">
        <v>182028.57</v>
      </c>
      <c r="J1035" s="307"/>
      <c r="K1035" s="307"/>
      <c r="L1035" s="76"/>
      <c r="M1035" s="76">
        <v>182028.57</v>
      </c>
      <c r="N1035" s="407"/>
      <c r="O1035" s="407"/>
      <c r="P1035" s="407"/>
      <c r="Q1035" s="407"/>
      <c r="R1035" s="407">
        <v>50000</v>
      </c>
      <c r="S1035" s="407">
        <v>70000</v>
      </c>
      <c r="T1035" s="407">
        <v>62028.57</v>
      </c>
      <c r="U1035" s="407"/>
      <c r="V1035" s="407"/>
      <c r="W1035" s="407"/>
      <c r="X1035" s="407"/>
      <c r="Y1035" s="407"/>
      <c r="Z1035" s="407"/>
      <c r="AA1035" s="407">
        <f t="shared" si="135"/>
        <v>182028.57</v>
      </c>
      <c r="AC1035" s="501"/>
      <c r="AD1035" s="512">
        <v>182028.57</v>
      </c>
      <c r="AE1035" s="512"/>
      <c r="AF1035" s="512" t="s">
        <v>730</v>
      </c>
      <c r="AG1035" s="507"/>
      <c r="AH1035" s="507"/>
    </row>
    <row r="1036" spans="1:34" s="362" customFormat="1" ht="31.5">
      <c r="A1036" s="608"/>
      <c r="B1036" s="608"/>
      <c r="C1036" s="306"/>
      <c r="D1036" s="375" t="s">
        <v>72</v>
      </c>
      <c r="E1036" s="292"/>
      <c r="F1036" s="143"/>
      <c r="G1036" s="292"/>
      <c r="H1036" s="427">
        <v>3122</v>
      </c>
      <c r="I1036" s="307">
        <v>1323.6</v>
      </c>
      <c r="J1036" s="307"/>
      <c r="K1036" s="307"/>
      <c r="L1036" s="76"/>
      <c r="M1036" s="76">
        <v>1323.6</v>
      </c>
      <c r="N1036" s="407"/>
      <c r="O1036" s="407"/>
      <c r="P1036" s="407"/>
      <c r="Q1036" s="407"/>
      <c r="R1036" s="407">
        <v>1323.6</v>
      </c>
      <c r="S1036" s="407"/>
      <c r="T1036" s="407"/>
      <c r="U1036" s="407"/>
      <c r="V1036" s="407"/>
      <c r="W1036" s="407"/>
      <c r="X1036" s="407"/>
      <c r="Y1036" s="407"/>
      <c r="Z1036" s="407"/>
      <c r="AA1036" s="407">
        <f t="shared" si="135"/>
        <v>1323.6</v>
      </c>
      <c r="AC1036" s="501"/>
      <c r="AD1036" s="512">
        <v>1323.6</v>
      </c>
      <c r="AE1036" s="512"/>
      <c r="AF1036" s="512" t="s">
        <v>730</v>
      </c>
      <c r="AG1036" s="507"/>
      <c r="AH1036" s="507"/>
    </row>
    <row r="1037" spans="1:34" s="362" customFormat="1" ht="76.5">
      <c r="A1037" s="608"/>
      <c r="B1037" s="608"/>
      <c r="C1037" s="306"/>
      <c r="D1037" s="375" t="s">
        <v>1353</v>
      </c>
      <c r="E1037" s="292"/>
      <c r="F1037" s="143"/>
      <c r="G1037" s="292"/>
      <c r="H1037" s="427">
        <v>3142</v>
      </c>
      <c r="I1037" s="307">
        <v>510000</v>
      </c>
      <c r="J1037" s="307"/>
      <c r="K1037" s="307"/>
      <c r="L1037" s="76"/>
      <c r="M1037" s="76">
        <v>510000</v>
      </c>
      <c r="N1037" s="407"/>
      <c r="O1037" s="407"/>
      <c r="P1037" s="407"/>
      <c r="Q1037" s="407"/>
      <c r="R1037" s="407">
        <v>17500</v>
      </c>
      <c r="S1037" s="407"/>
      <c r="T1037" s="407"/>
      <c r="U1037" s="407">
        <f>492500-492500</f>
        <v>0</v>
      </c>
      <c r="V1037" s="407"/>
      <c r="W1037" s="407"/>
      <c r="X1037" s="407"/>
      <c r="Y1037" s="407">
        <v>492500</v>
      </c>
      <c r="Z1037" s="407"/>
      <c r="AA1037" s="407">
        <f t="shared" si="135"/>
        <v>17500</v>
      </c>
      <c r="AC1037" s="501"/>
      <c r="AD1037" s="512">
        <v>510000</v>
      </c>
      <c r="AE1037" s="512" t="s">
        <v>1542</v>
      </c>
      <c r="AF1037" s="512" t="s">
        <v>1676</v>
      </c>
      <c r="AG1037" s="507" t="s">
        <v>1626</v>
      </c>
      <c r="AH1037" s="507" t="s">
        <v>1542</v>
      </c>
    </row>
    <row r="1038" spans="1:34" s="362" customFormat="1" ht="47.25">
      <c r="A1038" s="608"/>
      <c r="B1038" s="608"/>
      <c r="C1038" s="306"/>
      <c r="D1038" s="375" t="s">
        <v>713</v>
      </c>
      <c r="E1038" s="292"/>
      <c r="F1038" s="143"/>
      <c r="G1038" s="292"/>
      <c r="H1038" s="427">
        <v>3210</v>
      </c>
      <c r="I1038" s="307">
        <v>46300</v>
      </c>
      <c r="J1038" s="307"/>
      <c r="K1038" s="307"/>
      <c r="L1038" s="76"/>
      <c r="M1038" s="76"/>
      <c r="N1038" s="407"/>
      <c r="O1038" s="407"/>
      <c r="P1038" s="407"/>
      <c r="Q1038" s="407"/>
      <c r="R1038" s="407">
        <v>46300</v>
      </c>
      <c r="S1038" s="407"/>
      <c r="T1038" s="407"/>
      <c r="U1038" s="407"/>
      <c r="V1038" s="407"/>
      <c r="W1038" s="407"/>
      <c r="X1038" s="407"/>
      <c r="Y1038" s="407"/>
      <c r="Z1038" s="407"/>
      <c r="AA1038" s="407">
        <f t="shared" si="135"/>
        <v>46300</v>
      </c>
      <c r="AC1038" s="501"/>
      <c r="AD1038" s="512">
        <v>46300</v>
      </c>
      <c r="AE1038" s="512"/>
      <c r="AF1038" s="512" t="s">
        <v>730</v>
      </c>
      <c r="AG1038" s="507"/>
      <c r="AH1038" s="507"/>
    </row>
    <row r="1039" spans="1:34" s="362" customFormat="1" ht="31.5" hidden="1">
      <c r="A1039" s="661"/>
      <c r="B1039" s="661"/>
      <c r="C1039" s="306"/>
      <c r="D1039" s="375" t="s">
        <v>1354</v>
      </c>
      <c r="E1039" s="292"/>
      <c r="F1039" s="143"/>
      <c r="G1039" s="292"/>
      <c r="H1039" s="427">
        <v>3142</v>
      </c>
      <c r="I1039" s="307">
        <f>980000-980000</f>
        <v>0</v>
      </c>
      <c r="J1039" s="307"/>
      <c r="K1039" s="307"/>
      <c r="L1039" s="76"/>
      <c r="M1039" s="76">
        <v>980000</v>
      </c>
      <c r="N1039" s="407"/>
      <c r="O1039" s="407"/>
      <c r="P1039" s="407"/>
      <c r="Q1039" s="407"/>
      <c r="R1039" s="407">
        <v>15000</v>
      </c>
      <c r="S1039" s="407">
        <v>50000</v>
      </c>
      <c r="T1039" s="407"/>
      <c r="U1039" s="407">
        <v>-65000</v>
      </c>
      <c r="V1039" s="407"/>
      <c r="W1039" s="407">
        <f>915000-500000-415000</f>
        <v>0</v>
      </c>
      <c r="X1039" s="407"/>
      <c r="Y1039" s="407">
        <f>500000-500000</f>
        <v>0</v>
      </c>
      <c r="Z1039" s="407"/>
      <c r="AA1039" s="407">
        <f t="shared" si="135"/>
        <v>0</v>
      </c>
      <c r="AC1039" s="501"/>
      <c r="AD1039" s="512"/>
      <c r="AE1039" s="512"/>
      <c r="AF1039" s="512"/>
      <c r="AG1039" s="507"/>
      <c r="AH1039" s="507"/>
    </row>
    <row r="1040" spans="1:62" s="28" customFormat="1" ht="15.75" customHeight="1">
      <c r="A1040" s="603">
        <v>150110</v>
      </c>
      <c r="B1040" s="605" t="s">
        <v>1741</v>
      </c>
      <c r="C1040" s="267"/>
      <c r="D1040" s="71" t="s">
        <v>1456</v>
      </c>
      <c r="E1040" s="303"/>
      <c r="F1040" s="159"/>
      <c r="G1040" s="303"/>
      <c r="H1040" s="429"/>
      <c r="I1040" s="304">
        <f aca="true" t="shared" si="136" ref="I1040:Z1040">SUM(I1041:I1044)</f>
        <v>5669220.06</v>
      </c>
      <c r="J1040" s="304">
        <f t="shared" si="136"/>
        <v>0</v>
      </c>
      <c r="K1040" s="304">
        <f t="shared" si="136"/>
        <v>0</v>
      </c>
      <c r="L1040" s="304">
        <f t="shared" si="136"/>
        <v>3211.06</v>
      </c>
      <c r="M1040" s="304">
        <f t="shared" si="136"/>
        <v>5584400</v>
      </c>
      <c r="N1040" s="304">
        <f t="shared" si="136"/>
        <v>0</v>
      </c>
      <c r="O1040" s="304">
        <f t="shared" si="136"/>
        <v>3211.06</v>
      </c>
      <c r="P1040" s="304">
        <f t="shared" si="136"/>
        <v>0</v>
      </c>
      <c r="Q1040" s="304">
        <f t="shared" si="136"/>
        <v>0</v>
      </c>
      <c r="R1040" s="304">
        <f t="shared" si="136"/>
        <v>1350000</v>
      </c>
      <c r="S1040" s="304">
        <f t="shared" si="136"/>
        <v>1300000</v>
      </c>
      <c r="T1040" s="304">
        <f t="shared" si="136"/>
        <v>1452500</v>
      </c>
      <c r="U1040" s="304">
        <f t="shared" si="136"/>
        <v>1481900</v>
      </c>
      <c r="V1040" s="304">
        <f t="shared" si="136"/>
        <v>0</v>
      </c>
      <c r="W1040" s="304">
        <f t="shared" si="136"/>
        <v>0</v>
      </c>
      <c r="X1040" s="304">
        <f t="shared" si="136"/>
        <v>81609</v>
      </c>
      <c r="Y1040" s="304">
        <f t="shared" si="136"/>
        <v>0</v>
      </c>
      <c r="Z1040" s="304">
        <f t="shared" si="136"/>
        <v>3693209.24</v>
      </c>
      <c r="AA1040" s="407">
        <f t="shared" si="135"/>
        <v>1976010.82</v>
      </c>
      <c r="AB1040" s="30"/>
      <c r="AC1040" s="59"/>
      <c r="AD1040" s="514"/>
      <c r="AE1040" s="514"/>
      <c r="AF1040" s="514"/>
      <c r="AG1040" s="509"/>
      <c r="AH1040" s="509"/>
      <c r="AI1040" s="30"/>
      <c r="AJ1040" s="30"/>
      <c r="AK1040" s="30"/>
      <c r="AL1040" s="30"/>
      <c r="AM1040" s="30"/>
      <c r="AN1040" s="30"/>
      <c r="AO1040" s="30"/>
      <c r="AP1040" s="30"/>
      <c r="AQ1040" s="30"/>
      <c r="AR1040" s="30"/>
      <c r="AS1040" s="30"/>
      <c r="AT1040" s="30"/>
      <c r="AU1040" s="30"/>
      <c r="AV1040" s="30"/>
      <c r="AW1040" s="30"/>
      <c r="AX1040" s="30"/>
      <c r="AY1040" s="30"/>
      <c r="AZ1040" s="30"/>
      <c r="BA1040" s="30"/>
      <c r="BB1040" s="30"/>
      <c r="BC1040" s="30"/>
      <c r="BD1040" s="30"/>
      <c r="BE1040" s="30"/>
      <c r="BF1040" s="30"/>
      <c r="BG1040" s="30"/>
      <c r="BH1040" s="30"/>
      <c r="BI1040" s="30"/>
      <c r="BJ1040" s="30"/>
    </row>
    <row r="1041" spans="1:34" s="45" customFormat="1" ht="47.25" customHeight="1">
      <c r="A1041" s="608"/>
      <c r="B1041" s="607"/>
      <c r="C1041" s="266" t="s">
        <v>752</v>
      </c>
      <c r="D1041" s="14" t="s">
        <v>610</v>
      </c>
      <c r="E1041" s="292">
        <v>200</v>
      </c>
      <c r="F1041" s="143">
        <f>100%-((E1041-G1041)/E1041)</f>
        <v>1</v>
      </c>
      <c r="G1041" s="292">
        <v>200</v>
      </c>
      <c r="H1041" s="427">
        <v>3142</v>
      </c>
      <c r="I1041" s="307">
        <v>3211.06</v>
      </c>
      <c r="J1041" s="307"/>
      <c r="K1041" s="307"/>
      <c r="L1041" s="49">
        <v>3211.06</v>
      </c>
      <c r="M1041" s="307"/>
      <c r="N1041" s="407"/>
      <c r="O1041" s="307">
        <v>3211.06</v>
      </c>
      <c r="P1041" s="407"/>
      <c r="Q1041" s="407"/>
      <c r="R1041" s="407"/>
      <c r="S1041" s="407"/>
      <c r="T1041" s="407"/>
      <c r="U1041" s="407"/>
      <c r="V1041" s="407"/>
      <c r="W1041" s="407"/>
      <c r="X1041" s="407"/>
      <c r="Y1041" s="407"/>
      <c r="Z1041" s="307">
        <v>3211.06</v>
      </c>
      <c r="AA1041" s="407">
        <f t="shared" si="135"/>
        <v>0</v>
      </c>
      <c r="AC1041" s="499"/>
      <c r="AD1041" s="512">
        <v>3211.06</v>
      </c>
      <c r="AE1041" s="512"/>
      <c r="AF1041" s="512" t="s">
        <v>1677</v>
      </c>
      <c r="AG1041" s="507"/>
      <c r="AH1041" s="507"/>
    </row>
    <row r="1042" spans="1:34" s="362" customFormat="1" ht="102">
      <c r="A1042" s="608"/>
      <c r="B1042" s="607"/>
      <c r="C1042" s="266"/>
      <c r="D1042" s="375" t="s">
        <v>248</v>
      </c>
      <c r="E1042" s="292"/>
      <c r="F1042" s="143"/>
      <c r="G1042" s="292"/>
      <c r="H1042" s="427">
        <v>3142</v>
      </c>
      <c r="I1042" s="307">
        <f>690000+79100</f>
        <v>769100</v>
      </c>
      <c r="J1042" s="307"/>
      <c r="K1042" s="307"/>
      <c r="L1042" s="76"/>
      <c r="M1042" s="76">
        <v>690000</v>
      </c>
      <c r="N1042" s="407"/>
      <c r="O1042" s="407"/>
      <c r="P1042" s="407"/>
      <c r="Q1042" s="407"/>
      <c r="R1042" s="407">
        <v>50000</v>
      </c>
      <c r="S1042" s="407">
        <v>100000</v>
      </c>
      <c r="T1042" s="407">
        <v>270000</v>
      </c>
      <c r="U1042" s="407">
        <v>270000</v>
      </c>
      <c r="V1042" s="407"/>
      <c r="W1042" s="407"/>
      <c r="X1042" s="407">
        <v>79100</v>
      </c>
      <c r="Y1042" s="407"/>
      <c r="Z1042" s="407">
        <f>10640+3770</f>
        <v>14410</v>
      </c>
      <c r="AA1042" s="407">
        <f t="shared" si="135"/>
        <v>754690</v>
      </c>
      <c r="AC1042" s="501"/>
      <c r="AD1042" s="512">
        <v>690000</v>
      </c>
      <c r="AE1042" s="512">
        <v>848844</v>
      </c>
      <c r="AF1042" s="512" t="s">
        <v>2079</v>
      </c>
      <c r="AG1042" s="507" t="s">
        <v>1049</v>
      </c>
      <c r="AH1042" s="507" t="s">
        <v>1629</v>
      </c>
    </row>
    <row r="1043" spans="1:34" s="362" customFormat="1" ht="31.5">
      <c r="A1043" s="608"/>
      <c r="B1043" s="607"/>
      <c r="C1043" s="266" t="s">
        <v>611</v>
      </c>
      <c r="D1043" s="375" t="s">
        <v>1191</v>
      </c>
      <c r="E1043" s="292">
        <v>354</v>
      </c>
      <c r="F1043" s="143">
        <f>100%-((E1043-G1043)/E1043)</f>
        <v>1</v>
      </c>
      <c r="G1043" s="292">
        <v>354</v>
      </c>
      <c r="H1043" s="427">
        <v>3122</v>
      </c>
      <c r="I1043" s="307">
        <v>4329400</v>
      </c>
      <c r="J1043" s="307"/>
      <c r="K1043" s="307"/>
      <c r="L1043" s="76"/>
      <c r="M1043" s="76">
        <v>4329400</v>
      </c>
      <c r="N1043" s="407"/>
      <c r="O1043" s="407"/>
      <c r="P1043" s="407"/>
      <c r="Q1043" s="407"/>
      <c r="R1043" s="407">
        <v>1300000</v>
      </c>
      <c r="S1043" s="407">
        <v>1000000</v>
      </c>
      <c r="T1043" s="407">
        <v>1000000</v>
      </c>
      <c r="U1043" s="407">
        <v>1029400</v>
      </c>
      <c r="V1043" s="407"/>
      <c r="W1043" s="407"/>
      <c r="X1043" s="407"/>
      <c r="Y1043" s="407"/>
      <c r="Z1043" s="407">
        <f>1250851.5+267852.86+1220520.95+27297+544566.9</f>
        <v>3311089.21</v>
      </c>
      <c r="AA1043" s="407">
        <f t="shared" si="135"/>
        <v>1018310.79</v>
      </c>
      <c r="AC1043" s="501"/>
      <c r="AD1043" s="512"/>
      <c r="AE1043" s="512"/>
      <c r="AF1043" s="512"/>
      <c r="AG1043" s="507"/>
      <c r="AH1043" s="507"/>
    </row>
    <row r="1044" spans="1:34" s="362" customFormat="1" ht="76.5">
      <c r="A1044" s="604"/>
      <c r="B1044" s="606"/>
      <c r="C1044" s="266" t="s">
        <v>613</v>
      </c>
      <c r="D1044" s="375" t="s">
        <v>65</v>
      </c>
      <c r="E1044" s="292">
        <v>11730.59</v>
      </c>
      <c r="F1044" s="143">
        <f>100%-((E1044-G1044)/E1044)</f>
        <v>0.672</v>
      </c>
      <c r="G1044" s="292">
        <v>7879</v>
      </c>
      <c r="H1044" s="427">
        <v>3142</v>
      </c>
      <c r="I1044" s="307">
        <f>565000+2509</f>
        <v>567509</v>
      </c>
      <c r="J1044" s="307"/>
      <c r="K1044" s="307"/>
      <c r="L1044" s="76"/>
      <c r="M1044" s="76">
        <v>565000</v>
      </c>
      <c r="N1044" s="407"/>
      <c r="O1044" s="407"/>
      <c r="P1044" s="407"/>
      <c r="Q1044" s="407"/>
      <c r="R1044" s="407"/>
      <c r="S1044" s="407">
        <v>200000</v>
      </c>
      <c r="T1044" s="407">
        <v>182500</v>
      </c>
      <c r="U1044" s="407">
        <v>182500</v>
      </c>
      <c r="V1044" s="407"/>
      <c r="W1044" s="407"/>
      <c r="X1044" s="407">
        <v>2509</v>
      </c>
      <c r="Y1044" s="407"/>
      <c r="Z1044" s="407">
        <f>67038+68360.4+130147.8+98952.77</f>
        <v>364498.97</v>
      </c>
      <c r="AA1044" s="407">
        <f t="shared" si="135"/>
        <v>203010.03</v>
      </c>
      <c r="AC1044" s="501"/>
      <c r="AD1044" s="512">
        <v>565000</v>
      </c>
      <c r="AE1044" s="512">
        <v>661770</v>
      </c>
      <c r="AF1044" s="512" t="s">
        <v>2080</v>
      </c>
      <c r="AG1044" s="507" t="s">
        <v>732</v>
      </c>
      <c r="AH1044" s="507" t="s">
        <v>1629</v>
      </c>
    </row>
    <row r="1045" spans="1:62" s="28" customFormat="1" ht="15.75">
      <c r="A1045" s="603">
        <v>150118</v>
      </c>
      <c r="B1045" s="605" t="s">
        <v>149</v>
      </c>
      <c r="C1045" s="270"/>
      <c r="D1045" s="71" t="s">
        <v>1456</v>
      </c>
      <c r="E1045" s="303"/>
      <c r="F1045" s="138"/>
      <c r="G1045" s="303"/>
      <c r="H1045" s="429"/>
      <c r="I1045" s="304">
        <f aca="true" t="shared" si="137" ref="I1045:Z1045">I1046</f>
        <v>1650427</v>
      </c>
      <c r="J1045" s="304">
        <f t="shared" si="137"/>
        <v>1000000</v>
      </c>
      <c r="K1045" s="304">
        <f t="shared" si="137"/>
        <v>30000</v>
      </c>
      <c r="L1045" s="304">
        <f t="shared" si="137"/>
        <v>0</v>
      </c>
      <c r="M1045" s="304">
        <f t="shared" si="137"/>
        <v>1620427</v>
      </c>
      <c r="N1045" s="304">
        <f t="shared" si="137"/>
        <v>0</v>
      </c>
      <c r="O1045" s="304">
        <f t="shared" si="137"/>
        <v>0</v>
      </c>
      <c r="P1045" s="304">
        <f t="shared" si="137"/>
        <v>0</v>
      </c>
      <c r="Q1045" s="304">
        <f t="shared" si="137"/>
        <v>30000</v>
      </c>
      <c r="R1045" s="304">
        <f t="shared" si="137"/>
        <v>0</v>
      </c>
      <c r="S1045" s="304">
        <f t="shared" si="137"/>
        <v>500000</v>
      </c>
      <c r="T1045" s="304">
        <f t="shared" si="137"/>
        <v>500000</v>
      </c>
      <c r="U1045" s="304">
        <f t="shared" si="137"/>
        <v>620427</v>
      </c>
      <c r="V1045" s="304">
        <f t="shared" si="137"/>
        <v>0</v>
      </c>
      <c r="W1045" s="304">
        <f t="shared" si="137"/>
        <v>0</v>
      </c>
      <c r="X1045" s="304">
        <f t="shared" si="137"/>
        <v>0</v>
      </c>
      <c r="Y1045" s="304">
        <f t="shared" si="137"/>
        <v>0</v>
      </c>
      <c r="Z1045" s="304">
        <f t="shared" si="137"/>
        <v>0</v>
      </c>
      <c r="AA1045" s="407">
        <f t="shared" si="135"/>
        <v>1650427</v>
      </c>
      <c r="AB1045" s="30"/>
      <c r="AC1045" s="59"/>
      <c r="AD1045" s="514"/>
      <c r="AE1045" s="514"/>
      <c r="AF1045" s="514"/>
      <c r="AG1045" s="509"/>
      <c r="AH1045" s="509"/>
      <c r="AI1045" s="30"/>
      <c r="AJ1045" s="30"/>
      <c r="AK1045" s="30"/>
      <c r="AL1045" s="30"/>
      <c r="AM1045" s="30"/>
      <c r="AN1045" s="30"/>
      <c r="AO1045" s="30"/>
      <c r="AP1045" s="30"/>
      <c r="AQ1045" s="30"/>
      <c r="AR1045" s="30"/>
      <c r="AS1045" s="30"/>
      <c r="AT1045" s="30"/>
      <c r="AU1045" s="30"/>
      <c r="AV1045" s="30"/>
      <c r="AW1045" s="30"/>
      <c r="AX1045" s="30"/>
      <c r="AY1045" s="30"/>
      <c r="AZ1045" s="30"/>
      <c r="BA1045" s="30"/>
      <c r="BB1045" s="30"/>
      <c r="BC1045" s="30"/>
      <c r="BD1045" s="30"/>
      <c r="BE1045" s="30"/>
      <c r="BF1045" s="30"/>
      <c r="BG1045" s="30"/>
      <c r="BH1045" s="30"/>
      <c r="BI1045" s="30"/>
      <c r="BJ1045" s="30"/>
    </row>
    <row r="1046" spans="1:34" ht="63" customHeight="1">
      <c r="A1046" s="604"/>
      <c r="B1046" s="606"/>
      <c r="C1046" s="266"/>
      <c r="D1046" s="14" t="s">
        <v>287</v>
      </c>
      <c r="E1046" s="292"/>
      <c r="F1046" s="143"/>
      <c r="G1046" s="292"/>
      <c r="H1046" s="427">
        <v>3122</v>
      </c>
      <c r="I1046" s="307">
        <f>2650427-1000000</f>
        <v>1650427</v>
      </c>
      <c r="J1046" s="307">
        <v>1000000</v>
      </c>
      <c r="K1046" s="307">
        <v>30000</v>
      </c>
      <c r="L1046" s="49"/>
      <c r="M1046" s="49">
        <f>1620427</f>
        <v>1620427</v>
      </c>
      <c r="N1046" s="407"/>
      <c r="O1046" s="407"/>
      <c r="P1046" s="407"/>
      <c r="Q1046" s="407">
        <v>30000</v>
      </c>
      <c r="R1046" s="407"/>
      <c r="S1046" s="407">
        <v>500000</v>
      </c>
      <c r="T1046" s="407">
        <v>500000</v>
      </c>
      <c r="U1046" s="407">
        <v>620427</v>
      </c>
      <c r="V1046" s="407"/>
      <c r="W1046" s="407"/>
      <c r="X1046" s="407"/>
      <c r="Y1046" s="407"/>
      <c r="Z1046" s="407"/>
      <c r="AA1046" s="407">
        <f t="shared" si="135"/>
        <v>1650427</v>
      </c>
      <c r="AC1046" s="499"/>
      <c r="AD1046" s="512">
        <v>1650427</v>
      </c>
      <c r="AE1046" s="512">
        <v>18254723</v>
      </c>
      <c r="AF1046" s="512"/>
      <c r="AG1046" s="507" t="s">
        <v>732</v>
      </c>
      <c r="AH1046" s="507"/>
    </row>
    <row r="1047" spans="1:34" s="30" customFormat="1" ht="15.75" customHeight="1">
      <c r="A1047" s="603">
        <v>180409</v>
      </c>
      <c r="B1047" s="536" t="s">
        <v>2043</v>
      </c>
      <c r="C1047" s="321"/>
      <c r="D1047" s="71" t="s">
        <v>1456</v>
      </c>
      <c r="E1047" s="303"/>
      <c r="F1047" s="138"/>
      <c r="G1047" s="303"/>
      <c r="H1047" s="429"/>
      <c r="I1047" s="304">
        <f>I1048+I1049</f>
        <v>90000</v>
      </c>
      <c r="J1047" s="304">
        <f>J1048</f>
        <v>0</v>
      </c>
      <c r="K1047" s="304">
        <f>K1048</f>
        <v>0</v>
      </c>
      <c r="L1047" s="304">
        <f>L1048</f>
        <v>65000</v>
      </c>
      <c r="M1047" s="304">
        <f>M1048</f>
        <v>0</v>
      </c>
      <c r="N1047" s="304">
        <f>N1048+N1049</f>
        <v>0</v>
      </c>
      <c r="O1047" s="304">
        <f aca="true" t="shared" si="138" ref="O1047:Z1047">O1048+O1049</f>
        <v>0</v>
      </c>
      <c r="P1047" s="304">
        <f t="shared" si="138"/>
        <v>0</v>
      </c>
      <c r="Q1047" s="304">
        <f t="shared" si="138"/>
        <v>65000</v>
      </c>
      <c r="R1047" s="304">
        <f t="shared" si="138"/>
        <v>0</v>
      </c>
      <c r="S1047" s="304">
        <f t="shared" si="138"/>
        <v>0</v>
      </c>
      <c r="T1047" s="304">
        <f t="shared" si="138"/>
        <v>0</v>
      </c>
      <c r="U1047" s="304">
        <f t="shared" si="138"/>
        <v>0</v>
      </c>
      <c r="V1047" s="304">
        <f t="shared" si="138"/>
        <v>0</v>
      </c>
      <c r="W1047" s="304">
        <f t="shared" si="138"/>
        <v>25000</v>
      </c>
      <c r="X1047" s="304">
        <f t="shared" si="138"/>
        <v>0</v>
      </c>
      <c r="Y1047" s="304">
        <f t="shared" si="138"/>
        <v>0</v>
      </c>
      <c r="Z1047" s="304">
        <f t="shared" si="138"/>
        <v>87114</v>
      </c>
      <c r="AA1047" s="407">
        <f t="shared" si="135"/>
        <v>2886</v>
      </c>
      <c r="AC1047" s="59"/>
      <c r="AD1047" s="514"/>
      <c r="AE1047" s="514"/>
      <c r="AF1047" s="514"/>
      <c r="AG1047" s="509"/>
      <c r="AH1047" s="509"/>
    </row>
    <row r="1048" spans="1:34" ht="63.75" customHeight="1" hidden="1">
      <c r="A1048" s="608"/>
      <c r="B1048" s="538"/>
      <c r="C1048" s="266"/>
      <c r="D1048" s="14" t="s">
        <v>2044</v>
      </c>
      <c r="E1048" s="292"/>
      <c r="F1048" s="143"/>
      <c r="G1048" s="292"/>
      <c r="H1048" s="427">
        <v>3210</v>
      </c>
      <c r="I1048" s="307">
        <f>65000-65000</f>
        <v>0</v>
      </c>
      <c r="J1048" s="307"/>
      <c r="K1048" s="307"/>
      <c r="L1048" s="372">
        <v>65000</v>
      </c>
      <c r="M1048" s="307"/>
      <c r="N1048" s="407"/>
      <c r="O1048" s="407"/>
      <c r="P1048" s="407"/>
      <c r="Q1048" s="407">
        <v>65000</v>
      </c>
      <c r="R1048" s="407"/>
      <c r="S1048" s="407"/>
      <c r="T1048" s="407"/>
      <c r="U1048" s="407"/>
      <c r="V1048" s="407"/>
      <c r="W1048" s="407">
        <v>-65000</v>
      </c>
      <c r="X1048" s="407"/>
      <c r="Y1048" s="407"/>
      <c r="Z1048" s="407"/>
      <c r="AA1048" s="407">
        <f t="shared" si="135"/>
        <v>0</v>
      </c>
      <c r="AC1048" s="499"/>
      <c r="AD1048" s="512">
        <v>65000</v>
      </c>
      <c r="AE1048" s="512"/>
      <c r="AF1048" s="512"/>
      <c r="AG1048" s="507"/>
      <c r="AH1048" s="507"/>
    </row>
    <row r="1049" spans="1:34" ht="63.75" customHeight="1">
      <c r="A1049" s="604"/>
      <c r="B1049" s="537"/>
      <c r="C1049" s="266"/>
      <c r="D1049" s="14" t="s">
        <v>618</v>
      </c>
      <c r="E1049" s="292"/>
      <c r="F1049" s="143"/>
      <c r="G1049" s="292"/>
      <c r="H1049" s="427">
        <v>3210</v>
      </c>
      <c r="I1049" s="307">
        <v>90000</v>
      </c>
      <c r="J1049" s="307"/>
      <c r="K1049" s="307"/>
      <c r="L1049" s="372"/>
      <c r="M1049" s="307"/>
      <c r="N1049" s="407"/>
      <c r="O1049" s="407"/>
      <c r="P1049" s="407"/>
      <c r="Q1049" s="407"/>
      <c r="R1049" s="407"/>
      <c r="S1049" s="407"/>
      <c r="T1049" s="407"/>
      <c r="U1049" s="407"/>
      <c r="V1049" s="407"/>
      <c r="W1049" s="407">
        <v>90000</v>
      </c>
      <c r="X1049" s="407"/>
      <c r="Y1049" s="407"/>
      <c r="Z1049" s="407">
        <v>87114</v>
      </c>
      <c r="AA1049" s="407">
        <f t="shared" si="135"/>
        <v>2886</v>
      </c>
      <c r="AC1049" s="499"/>
      <c r="AD1049" s="512"/>
      <c r="AE1049" s="512"/>
      <c r="AF1049" s="512"/>
      <c r="AG1049" s="507"/>
      <c r="AH1049" s="507"/>
    </row>
    <row r="1050" spans="1:34" s="30" customFormat="1" ht="15.75" customHeight="1">
      <c r="A1050" s="603">
        <v>170703</v>
      </c>
      <c r="B1050" s="605" t="s">
        <v>1946</v>
      </c>
      <c r="C1050" s="323"/>
      <c r="D1050" s="216" t="s">
        <v>1456</v>
      </c>
      <c r="E1050" s="303"/>
      <c r="F1050" s="159"/>
      <c r="G1050" s="303"/>
      <c r="H1050" s="429"/>
      <c r="I1050" s="304">
        <f>SUM(I1054:I1098)</f>
        <v>13958516.71</v>
      </c>
      <c r="J1050" s="304">
        <f aca="true" t="shared" si="139" ref="J1050:Z1050">SUM(J1051:J1098)</f>
        <v>0</v>
      </c>
      <c r="K1050" s="304">
        <f t="shared" si="139"/>
        <v>0</v>
      </c>
      <c r="L1050" s="304">
        <f t="shared" si="139"/>
        <v>13292.14</v>
      </c>
      <c r="M1050" s="304">
        <f t="shared" si="139"/>
        <v>16129920</v>
      </c>
      <c r="N1050" s="304">
        <f t="shared" si="139"/>
        <v>0</v>
      </c>
      <c r="O1050" s="304">
        <f t="shared" si="139"/>
        <v>13292.14</v>
      </c>
      <c r="P1050" s="304">
        <f t="shared" si="139"/>
        <v>0</v>
      </c>
      <c r="Q1050" s="304">
        <f t="shared" si="139"/>
        <v>0</v>
      </c>
      <c r="R1050" s="304">
        <f t="shared" si="139"/>
        <v>1643000</v>
      </c>
      <c r="S1050" s="304">
        <f t="shared" si="139"/>
        <v>2079000</v>
      </c>
      <c r="T1050" s="304">
        <f t="shared" si="139"/>
        <v>2851920</v>
      </c>
      <c r="U1050" s="304">
        <f t="shared" si="139"/>
        <v>3104000</v>
      </c>
      <c r="V1050" s="304">
        <f t="shared" si="139"/>
        <v>980000</v>
      </c>
      <c r="W1050" s="304">
        <f t="shared" si="139"/>
        <v>720052</v>
      </c>
      <c r="X1050" s="304">
        <f t="shared" si="139"/>
        <v>2567252.57</v>
      </c>
      <c r="Y1050" s="304">
        <f t="shared" si="139"/>
        <v>0</v>
      </c>
      <c r="Z1050" s="304">
        <f t="shared" si="139"/>
        <v>1538911.01</v>
      </c>
      <c r="AA1050" s="407">
        <f t="shared" si="135"/>
        <v>12419605.7</v>
      </c>
      <c r="AC1050" s="59"/>
      <c r="AD1050" s="514"/>
      <c r="AE1050" s="514"/>
      <c r="AF1050" s="514"/>
      <c r="AG1050" s="509"/>
      <c r="AH1050" s="509"/>
    </row>
    <row r="1051" spans="1:34" ht="31.5" customHeight="1" hidden="1">
      <c r="A1051" s="608"/>
      <c r="B1051" s="607"/>
      <c r="C1051" s="306" t="s">
        <v>1192</v>
      </c>
      <c r="D1051" s="324" t="s">
        <v>1936</v>
      </c>
      <c r="E1051" s="292"/>
      <c r="F1051" s="143"/>
      <c r="G1051" s="292"/>
      <c r="H1051" s="427"/>
      <c r="I1051" s="307" t="e">
        <f>J1051+#REF!+K1051+L1051+M1051+#REF!+#REF!</f>
        <v>#REF!</v>
      </c>
      <c r="J1051" s="307"/>
      <c r="K1051" s="307"/>
      <c r="L1051" s="307"/>
      <c r="M1051" s="307"/>
      <c r="N1051" s="407"/>
      <c r="O1051" s="407"/>
      <c r="P1051" s="407"/>
      <c r="Q1051" s="407"/>
      <c r="R1051" s="407"/>
      <c r="S1051" s="407"/>
      <c r="T1051" s="407"/>
      <c r="U1051" s="407"/>
      <c r="V1051" s="407"/>
      <c r="W1051" s="407"/>
      <c r="X1051" s="407"/>
      <c r="Y1051" s="407"/>
      <c r="Z1051" s="407"/>
      <c r="AA1051" s="407">
        <f t="shared" si="135"/>
        <v>0</v>
      </c>
      <c r="AC1051" s="499"/>
      <c r="AD1051" s="512"/>
      <c r="AE1051" s="512"/>
      <c r="AF1051" s="512"/>
      <c r="AG1051" s="507"/>
      <c r="AH1051" s="507"/>
    </row>
    <row r="1052" spans="1:34" ht="31.5" customHeight="1" hidden="1">
      <c r="A1052" s="608"/>
      <c r="B1052" s="607"/>
      <c r="C1052" s="306" t="s">
        <v>1937</v>
      </c>
      <c r="D1052" s="324" t="s">
        <v>1275</v>
      </c>
      <c r="E1052" s="292">
        <v>570.5</v>
      </c>
      <c r="F1052" s="143">
        <f aca="true" t="shared" si="140" ref="F1052:F1069">100%-((E1052-G1052)/E1052)</f>
        <v>1</v>
      </c>
      <c r="G1052" s="292">
        <v>570.5</v>
      </c>
      <c r="H1052" s="427"/>
      <c r="I1052" s="307" t="e">
        <f>J1052+#REF!+K1052+L1052+M1052+#REF!+#REF!</f>
        <v>#REF!</v>
      </c>
      <c r="J1052" s="307"/>
      <c r="K1052" s="307"/>
      <c r="L1052" s="307"/>
      <c r="M1052" s="307"/>
      <c r="N1052" s="407"/>
      <c r="O1052" s="407"/>
      <c r="P1052" s="407"/>
      <c r="Q1052" s="407"/>
      <c r="R1052" s="407"/>
      <c r="S1052" s="407"/>
      <c r="T1052" s="407"/>
      <c r="U1052" s="407"/>
      <c r="V1052" s="407"/>
      <c r="W1052" s="407"/>
      <c r="X1052" s="407"/>
      <c r="Y1052" s="407"/>
      <c r="Z1052" s="407"/>
      <c r="AA1052" s="407">
        <f t="shared" si="135"/>
        <v>0</v>
      </c>
      <c r="AC1052" s="499"/>
      <c r="AD1052" s="512"/>
      <c r="AE1052" s="512"/>
      <c r="AF1052" s="512"/>
      <c r="AG1052" s="507"/>
      <c r="AH1052" s="507"/>
    </row>
    <row r="1053" spans="1:34" ht="31.5" customHeight="1" hidden="1">
      <c r="A1053" s="608"/>
      <c r="B1053" s="607"/>
      <c r="C1053" s="306"/>
      <c r="D1053" s="324" t="s">
        <v>1276</v>
      </c>
      <c r="E1053" s="292">
        <v>2217.637</v>
      </c>
      <c r="F1053" s="143">
        <f t="shared" si="140"/>
        <v>1</v>
      </c>
      <c r="G1053" s="292">
        <v>2217.637</v>
      </c>
      <c r="H1053" s="427"/>
      <c r="I1053" s="307" t="e">
        <f>J1053+#REF!+K1053+L1053+M1053+#REF!+#REF!</f>
        <v>#REF!</v>
      </c>
      <c r="J1053" s="307"/>
      <c r="K1053" s="307"/>
      <c r="L1053" s="307"/>
      <c r="M1053" s="307"/>
      <c r="N1053" s="407"/>
      <c r="O1053" s="407"/>
      <c r="P1053" s="407"/>
      <c r="Q1053" s="407"/>
      <c r="R1053" s="407"/>
      <c r="S1053" s="407"/>
      <c r="T1053" s="407"/>
      <c r="U1053" s="407"/>
      <c r="V1053" s="407"/>
      <c r="W1053" s="407"/>
      <c r="X1053" s="407"/>
      <c r="Y1053" s="407"/>
      <c r="Z1053" s="407"/>
      <c r="AA1053" s="407">
        <f t="shared" si="135"/>
        <v>0</v>
      </c>
      <c r="AC1053" s="499"/>
      <c r="AD1053" s="512"/>
      <c r="AE1053" s="512"/>
      <c r="AF1053" s="512"/>
      <c r="AG1053" s="507"/>
      <c r="AH1053" s="507"/>
    </row>
    <row r="1054" spans="1:34" ht="31.5">
      <c r="A1054" s="608"/>
      <c r="B1054" s="607"/>
      <c r="C1054" s="306"/>
      <c r="D1054" s="324" t="s">
        <v>376</v>
      </c>
      <c r="E1054" s="292">
        <v>810.5</v>
      </c>
      <c r="F1054" s="143">
        <f t="shared" si="140"/>
        <v>1</v>
      </c>
      <c r="G1054" s="292">
        <v>810.5</v>
      </c>
      <c r="H1054" s="427">
        <v>3142</v>
      </c>
      <c r="I1054" s="307">
        <v>3483.45</v>
      </c>
      <c r="J1054" s="307"/>
      <c r="K1054" s="307"/>
      <c r="L1054" s="307">
        <v>3483.45</v>
      </c>
      <c r="M1054" s="307"/>
      <c r="N1054" s="407"/>
      <c r="O1054" s="307">
        <v>3483.45</v>
      </c>
      <c r="P1054" s="407"/>
      <c r="Q1054" s="407"/>
      <c r="R1054" s="407"/>
      <c r="S1054" s="407"/>
      <c r="T1054" s="407"/>
      <c r="U1054" s="407"/>
      <c r="V1054" s="407"/>
      <c r="W1054" s="407"/>
      <c r="X1054" s="407"/>
      <c r="Y1054" s="407"/>
      <c r="Z1054" s="307">
        <v>3483.45</v>
      </c>
      <c r="AA1054" s="407">
        <f t="shared" si="135"/>
        <v>0</v>
      </c>
      <c r="AC1054" s="499"/>
      <c r="AD1054" s="512">
        <v>3483.45</v>
      </c>
      <c r="AE1054" s="512"/>
      <c r="AF1054" s="512" t="s">
        <v>2081</v>
      </c>
      <c r="AG1054" s="507"/>
      <c r="AH1054" s="507"/>
    </row>
    <row r="1055" spans="1:34" ht="15.75" customHeight="1" hidden="1">
      <c r="A1055" s="608"/>
      <c r="B1055" s="607"/>
      <c r="C1055" s="306"/>
      <c r="D1055" s="14" t="s">
        <v>377</v>
      </c>
      <c r="E1055" s="292">
        <v>400</v>
      </c>
      <c r="F1055" s="143">
        <f t="shared" si="140"/>
        <v>1</v>
      </c>
      <c r="G1055" s="292">
        <v>400</v>
      </c>
      <c r="H1055" s="427"/>
      <c r="I1055" s="307">
        <v>0</v>
      </c>
      <c r="J1055" s="307"/>
      <c r="K1055" s="307"/>
      <c r="L1055" s="49"/>
      <c r="M1055" s="307"/>
      <c r="N1055" s="407"/>
      <c r="O1055" s="307">
        <v>0</v>
      </c>
      <c r="P1055" s="407"/>
      <c r="Q1055" s="407"/>
      <c r="R1055" s="407"/>
      <c r="S1055" s="407"/>
      <c r="T1055" s="407"/>
      <c r="U1055" s="407"/>
      <c r="V1055" s="407"/>
      <c r="W1055" s="407"/>
      <c r="X1055" s="407"/>
      <c r="Y1055" s="407"/>
      <c r="Z1055" s="307">
        <v>0</v>
      </c>
      <c r="AA1055" s="407">
        <f t="shared" si="135"/>
        <v>0</v>
      </c>
      <c r="AC1055" s="499"/>
      <c r="AD1055" s="512"/>
      <c r="AE1055" s="512"/>
      <c r="AF1055" s="512"/>
      <c r="AG1055" s="507"/>
      <c r="AH1055" s="507"/>
    </row>
    <row r="1056" spans="1:34" ht="15.75" customHeight="1" hidden="1">
      <c r="A1056" s="608"/>
      <c r="B1056" s="607"/>
      <c r="C1056" s="306"/>
      <c r="D1056" s="14" t="s">
        <v>378</v>
      </c>
      <c r="E1056" s="292">
        <v>5000</v>
      </c>
      <c r="F1056" s="143">
        <f t="shared" si="140"/>
        <v>0.331</v>
      </c>
      <c r="G1056" s="292">
        <v>1655.5</v>
      </c>
      <c r="H1056" s="427"/>
      <c r="I1056" s="307">
        <v>0</v>
      </c>
      <c r="J1056" s="307"/>
      <c r="K1056" s="307"/>
      <c r="L1056" s="49"/>
      <c r="M1056" s="307"/>
      <c r="N1056" s="407"/>
      <c r="O1056" s="307">
        <v>0</v>
      </c>
      <c r="P1056" s="407"/>
      <c r="Q1056" s="407"/>
      <c r="R1056" s="407"/>
      <c r="S1056" s="407"/>
      <c r="T1056" s="407"/>
      <c r="U1056" s="407"/>
      <c r="V1056" s="407"/>
      <c r="W1056" s="407"/>
      <c r="X1056" s="407"/>
      <c r="Y1056" s="407"/>
      <c r="Z1056" s="307">
        <v>0</v>
      </c>
      <c r="AA1056" s="407">
        <f t="shared" si="135"/>
        <v>0</v>
      </c>
      <c r="AC1056" s="499"/>
      <c r="AD1056" s="512"/>
      <c r="AE1056" s="512"/>
      <c r="AF1056" s="512"/>
      <c r="AG1056" s="507"/>
      <c r="AH1056" s="507"/>
    </row>
    <row r="1057" spans="1:34" ht="31.5" customHeight="1" hidden="1">
      <c r="A1057" s="608"/>
      <c r="B1057" s="607"/>
      <c r="C1057" s="306" t="s">
        <v>379</v>
      </c>
      <c r="D1057" s="14" t="s">
        <v>564</v>
      </c>
      <c r="E1057" s="292">
        <v>4832.655</v>
      </c>
      <c r="F1057" s="143">
        <f t="shared" si="140"/>
        <v>1</v>
      </c>
      <c r="G1057" s="292">
        <v>4832.655</v>
      </c>
      <c r="H1057" s="427"/>
      <c r="I1057" s="307">
        <v>0</v>
      </c>
      <c r="J1057" s="307"/>
      <c r="K1057" s="307"/>
      <c r="L1057" s="49"/>
      <c r="M1057" s="307"/>
      <c r="N1057" s="407"/>
      <c r="O1057" s="307">
        <v>0</v>
      </c>
      <c r="P1057" s="407"/>
      <c r="Q1057" s="407"/>
      <c r="R1057" s="407"/>
      <c r="S1057" s="407"/>
      <c r="T1057" s="407"/>
      <c r="U1057" s="407"/>
      <c r="V1057" s="407"/>
      <c r="W1057" s="407"/>
      <c r="X1057" s="407"/>
      <c r="Y1057" s="407"/>
      <c r="Z1057" s="307">
        <v>0</v>
      </c>
      <c r="AA1057" s="407">
        <f t="shared" si="135"/>
        <v>0</v>
      </c>
      <c r="AC1057" s="499"/>
      <c r="AD1057" s="512"/>
      <c r="AE1057" s="512"/>
      <c r="AF1057" s="512"/>
      <c r="AG1057" s="507"/>
      <c r="AH1057" s="507"/>
    </row>
    <row r="1058" spans="1:34" ht="47.25">
      <c r="A1058" s="608"/>
      <c r="B1058" s="607"/>
      <c r="C1058" s="306" t="s">
        <v>565</v>
      </c>
      <c r="D1058" s="14" t="s">
        <v>706</v>
      </c>
      <c r="E1058" s="292">
        <v>120</v>
      </c>
      <c r="F1058" s="143">
        <f t="shared" si="140"/>
        <v>1</v>
      </c>
      <c r="G1058" s="292">
        <v>120</v>
      </c>
      <c r="H1058" s="427">
        <v>3142</v>
      </c>
      <c r="I1058" s="307">
        <v>79.36</v>
      </c>
      <c r="J1058" s="307"/>
      <c r="K1058" s="307"/>
      <c r="L1058" s="49">
        <v>79.36</v>
      </c>
      <c r="M1058" s="307"/>
      <c r="N1058" s="407"/>
      <c r="O1058" s="307">
        <v>79.36</v>
      </c>
      <c r="P1058" s="407"/>
      <c r="Q1058" s="407"/>
      <c r="R1058" s="407"/>
      <c r="S1058" s="407"/>
      <c r="T1058" s="407"/>
      <c r="U1058" s="407"/>
      <c r="V1058" s="407"/>
      <c r="W1058" s="407"/>
      <c r="X1058" s="407"/>
      <c r="Y1058" s="407"/>
      <c r="Z1058" s="307">
        <v>79.36</v>
      </c>
      <c r="AA1058" s="407">
        <f t="shared" si="135"/>
        <v>0</v>
      </c>
      <c r="AC1058" s="499"/>
      <c r="AD1058" s="512">
        <v>79.36</v>
      </c>
      <c r="AE1058" s="512"/>
      <c r="AF1058" s="512" t="s">
        <v>2082</v>
      </c>
      <c r="AG1058" s="507"/>
      <c r="AH1058" s="507"/>
    </row>
    <row r="1059" spans="1:34" ht="15.75" customHeight="1" hidden="1">
      <c r="A1059" s="608"/>
      <c r="B1059" s="607"/>
      <c r="C1059" s="306" t="s">
        <v>707</v>
      </c>
      <c r="D1059" s="14" t="s">
        <v>708</v>
      </c>
      <c r="E1059" s="292">
        <v>14.36</v>
      </c>
      <c r="F1059" s="143">
        <f t="shared" si="140"/>
        <v>1</v>
      </c>
      <c r="G1059" s="292">
        <v>14.36</v>
      </c>
      <c r="H1059" s="427"/>
      <c r="I1059" s="307">
        <v>0</v>
      </c>
      <c r="J1059" s="307"/>
      <c r="K1059" s="307"/>
      <c r="L1059" s="49"/>
      <c r="M1059" s="307"/>
      <c r="N1059" s="407"/>
      <c r="O1059" s="307">
        <v>0</v>
      </c>
      <c r="P1059" s="407"/>
      <c r="Q1059" s="407"/>
      <c r="R1059" s="407"/>
      <c r="S1059" s="407"/>
      <c r="T1059" s="407"/>
      <c r="U1059" s="407"/>
      <c r="V1059" s="407"/>
      <c r="W1059" s="407"/>
      <c r="X1059" s="407"/>
      <c r="Y1059" s="407"/>
      <c r="Z1059" s="307">
        <v>0</v>
      </c>
      <c r="AA1059" s="407">
        <f t="shared" si="135"/>
        <v>0</v>
      </c>
      <c r="AC1059" s="499"/>
      <c r="AD1059" s="512"/>
      <c r="AE1059" s="512"/>
      <c r="AF1059" s="512"/>
      <c r="AG1059" s="507"/>
      <c r="AH1059" s="507"/>
    </row>
    <row r="1060" spans="1:34" ht="15.75" customHeight="1" hidden="1">
      <c r="A1060" s="608"/>
      <c r="B1060" s="607"/>
      <c r="C1060" s="306" t="s">
        <v>709</v>
      </c>
      <c r="D1060" s="14" t="s">
        <v>710</v>
      </c>
      <c r="E1060" s="292">
        <v>10000</v>
      </c>
      <c r="F1060" s="143">
        <f t="shared" si="140"/>
        <v>1</v>
      </c>
      <c r="G1060" s="292">
        <v>10000</v>
      </c>
      <c r="H1060" s="427"/>
      <c r="I1060" s="307">
        <v>0</v>
      </c>
      <c r="J1060" s="307"/>
      <c r="K1060" s="307"/>
      <c r="L1060" s="94"/>
      <c r="M1060" s="307"/>
      <c r="N1060" s="407"/>
      <c r="O1060" s="307">
        <v>0</v>
      </c>
      <c r="P1060" s="407"/>
      <c r="Q1060" s="407"/>
      <c r="R1060" s="407"/>
      <c r="S1060" s="407"/>
      <c r="T1060" s="407"/>
      <c r="U1060" s="407"/>
      <c r="V1060" s="407"/>
      <c r="W1060" s="407"/>
      <c r="X1060" s="407"/>
      <c r="Y1060" s="407"/>
      <c r="Z1060" s="307">
        <v>0</v>
      </c>
      <c r="AA1060" s="407">
        <f t="shared" si="135"/>
        <v>0</v>
      </c>
      <c r="AC1060" s="499"/>
      <c r="AD1060" s="512"/>
      <c r="AE1060" s="512"/>
      <c r="AF1060" s="512"/>
      <c r="AG1060" s="507"/>
      <c r="AH1060" s="507"/>
    </row>
    <row r="1061" spans="1:34" ht="15.75" customHeight="1" hidden="1">
      <c r="A1061" s="608"/>
      <c r="B1061" s="607"/>
      <c r="C1061" s="325" t="s">
        <v>711</v>
      </c>
      <c r="D1061" s="83" t="s">
        <v>712</v>
      </c>
      <c r="E1061" s="292">
        <v>3092.10361</v>
      </c>
      <c r="F1061" s="143">
        <f t="shared" si="140"/>
        <v>1</v>
      </c>
      <c r="G1061" s="292">
        <v>3092.10361</v>
      </c>
      <c r="H1061" s="427"/>
      <c r="I1061" s="307">
        <v>0</v>
      </c>
      <c r="J1061" s="307"/>
      <c r="K1061" s="307"/>
      <c r="L1061" s="307"/>
      <c r="M1061" s="307"/>
      <c r="N1061" s="407"/>
      <c r="O1061" s="307">
        <v>0</v>
      </c>
      <c r="P1061" s="407"/>
      <c r="Q1061" s="407"/>
      <c r="R1061" s="407"/>
      <c r="S1061" s="407"/>
      <c r="T1061" s="407"/>
      <c r="U1061" s="407"/>
      <c r="V1061" s="407"/>
      <c r="W1061" s="407"/>
      <c r="X1061" s="407"/>
      <c r="Y1061" s="407"/>
      <c r="Z1061" s="307">
        <v>0</v>
      </c>
      <c r="AA1061" s="407">
        <f t="shared" si="135"/>
        <v>0</v>
      </c>
      <c r="AC1061" s="499"/>
      <c r="AD1061" s="512"/>
      <c r="AE1061" s="512"/>
      <c r="AF1061" s="512"/>
      <c r="AG1061" s="507"/>
      <c r="AH1061" s="507"/>
    </row>
    <row r="1062" spans="1:34" ht="47.25" customHeight="1" hidden="1">
      <c r="A1062" s="608"/>
      <c r="B1062" s="607"/>
      <c r="C1062" s="325"/>
      <c r="D1062" s="83" t="s">
        <v>573</v>
      </c>
      <c r="E1062" s="292">
        <v>3882.655</v>
      </c>
      <c r="F1062" s="143">
        <f t="shared" si="140"/>
        <v>1</v>
      </c>
      <c r="G1062" s="292">
        <v>3882.655</v>
      </c>
      <c r="H1062" s="427"/>
      <c r="I1062" s="307">
        <v>0</v>
      </c>
      <c r="J1062" s="307"/>
      <c r="K1062" s="307"/>
      <c r="L1062" s="307"/>
      <c r="M1062" s="307"/>
      <c r="N1062" s="407"/>
      <c r="O1062" s="307">
        <v>0</v>
      </c>
      <c r="P1062" s="407"/>
      <c r="Q1062" s="407"/>
      <c r="R1062" s="407"/>
      <c r="S1062" s="407"/>
      <c r="T1062" s="407"/>
      <c r="U1062" s="407"/>
      <c r="V1062" s="407"/>
      <c r="W1062" s="407"/>
      <c r="X1062" s="407"/>
      <c r="Y1062" s="407"/>
      <c r="Z1062" s="307">
        <v>0</v>
      </c>
      <c r="AA1062" s="407">
        <f t="shared" si="135"/>
        <v>0</v>
      </c>
      <c r="AC1062" s="499"/>
      <c r="AD1062" s="512"/>
      <c r="AE1062" s="512"/>
      <c r="AF1062" s="512"/>
      <c r="AG1062" s="507"/>
      <c r="AH1062" s="507"/>
    </row>
    <row r="1063" spans="1:34" ht="31.5" customHeight="1" hidden="1">
      <c r="A1063" s="608"/>
      <c r="B1063" s="607"/>
      <c r="C1063" s="325"/>
      <c r="D1063" s="83" t="s">
        <v>1930</v>
      </c>
      <c r="E1063" s="292">
        <v>450</v>
      </c>
      <c r="F1063" s="143">
        <f t="shared" si="140"/>
        <v>1</v>
      </c>
      <c r="G1063" s="292">
        <v>450</v>
      </c>
      <c r="H1063" s="427"/>
      <c r="I1063" s="307">
        <v>0</v>
      </c>
      <c r="J1063" s="307"/>
      <c r="K1063" s="307"/>
      <c r="L1063" s="307"/>
      <c r="M1063" s="307"/>
      <c r="N1063" s="407"/>
      <c r="O1063" s="307">
        <v>0</v>
      </c>
      <c r="P1063" s="407"/>
      <c r="Q1063" s="407"/>
      <c r="R1063" s="407"/>
      <c r="S1063" s="407"/>
      <c r="T1063" s="407"/>
      <c r="U1063" s="407"/>
      <c r="V1063" s="407"/>
      <c r="W1063" s="407"/>
      <c r="X1063" s="407"/>
      <c r="Y1063" s="407"/>
      <c r="Z1063" s="307">
        <v>0</v>
      </c>
      <c r="AA1063" s="407">
        <f t="shared" si="135"/>
        <v>0</v>
      </c>
      <c r="AC1063" s="499"/>
      <c r="AD1063" s="512"/>
      <c r="AE1063" s="512"/>
      <c r="AF1063" s="512"/>
      <c r="AG1063" s="507"/>
      <c r="AH1063" s="507"/>
    </row>
    <row r="1064" spans="1:34" ht="31.5" customHeight="1" hidden="1">
      <c r="A1064" s="608"/>
      <c r="B1064" s="607"/>
      <c r="C1064" s="325"/>
      <c r="D1064" s="83" t="s">
        <v>678</v>
      </c>
      <c r="E1064" s="292">
        <v>500</v>
      </c>
      <c r="F1064" s="143">
        <f t="shared" si="140"/>
        <v>1</v>
      </c>
      <c r="G1064" s="292">
        <v>500</v>
      </c>
      <c r="H1064" s="427"/>
      <c r="I1064" s="307">
        <v>0</v>
      </c>
      <c r="J1064" s="307"/>
      <c r="K1064" s="307"/>
      <c r="L1064" s="307"/>
      <c r="M1064" s="307"/>
      <c r="N1064" s="407"/>
      <c r="O1064" s="307">
        <v>0</v>
      </c>
      <c r="P1064" s="407"/>
      <c r="Q1064" s="407"/>
      <c r="R1064" s="407"/>
      <c r="S1064" s="407"/>
      <c r="T1064" s="407"/>
      <c r="U1064" s="407"/>
      <c r="V1064" s="407"/>
      <c r="W1064" s="407"/>
      <c r="X1064" s="407"/>
      <c r="Y1064" s="407"/>
      <c r="Z1064" s="307">
        <v>0</v>
      </c>
      <c r="AA1064" s="407">
        <f t="shared" si="135"/>
        <v>0</v>
      </c>
      <c r="AC1064" s="499"/>
      <c r="AD1064" s="512"/>
      <c r="AE1064" s="512"/>
      <c r="AF1064" s="512"/>
      <c r="AG1064" s="507"/>
      <c r="AH1064" s="507"/>
    </row>
    <row r="1065" spans="1:34" ht="31.5" customHeight="1" hidden="1">
      <c r="A1065" s="608"/>
      <c r="B1065" s="607"/>
      <c r="C1065" s="325"/>
      <c r="D1065" s="83" t="s">
        <v>694</v>
      </c>
      <c r="E1065" s="292">
        <v>200</v>
      </c>
      <c r="F1065" s="143">
        <f t="shared" si="140"/>
        <v>1</v>
      </c>
      <c r="G1065" s="292">
        <v>200</v>
      </c>
      <c r="H1065" s="427"/>
      <c r="I1065" s="307">
        <v>0</v>
      </c>
      <c r="J1065" s="307"/>
      <c r="K1065" s="307"/>
      <c r="L1065" s="307"/>
      <c r="M1065" s="307"/>
      <c r="N1065" s="407"/>
      <c r="O1065" s="307">
        <v>0</v>
      </c>
      <c r="P1065" s="407"/>
      <c r="Q1065" s="407"/>
      <c r="R1065" s="407"/>
      <c r="S1065" s="407"/>
      <c r="T1065" s="407"/>
      <c r="U1065" s="407"/>
      <c r="V1065" s="407"/>
      <c r="W1065" s="407"/>
      <c r="X1065" s="407"/>
      <c r="Y1065" s="407"/>
      <c r="Z1065" s="307">
        <v>0</v>
      </c>
      <c r="AA1065" s="407">
        <f t="shared" si="135"/>
        <v>0</v>
      </c>
      <c r="AC1065" s="499"/>
      <c r="AD1065" s="512"/>
      <c r="AE1065" s="512"/>
      <c r="AF1065" s="512"/>
      <c r="AG1065" s="507"/>
      <c r="AH1065" s="507"/>
    </row>
    <row r="1066" spans="1:34" ht="31.5" customHeight="1" hidden="1">
      <c r="A1066" s="608"/>
      <c r="B1066" s="607"/>
      <c r="C1066" s="325"/>
      <c r="D1066" s="83" t="s">
        <v>1466</v>
      </c>
      <c r="E1066" s="292">
        <v>200</v>
      </c>
      <c r="F1066" s="143">
        <f t="shared" si="140"/>
        <v>1</v>
      </c>
      <c r="G1066" s="292">
        <v>200</v>
      </c>
      <c r="H1066" s="427"/>
      <c r="I1066" s="307">
        <v>0</v>
      </c>
      <c r="J1066" s="307"/>
      <c r="K1066" s="307"/>
      <c r="L1066" s="307"/>
      <c r="M1066" s="307"/>
      <c r="N1066" s="407"/>
      <c r="O1066" s="307">
        <v>0</v>
      </c>
      <c r="P1066" s="407"/>
      <c r="Q1066" s="407"/>
      <c r="R1066" s="407"/>
      <c r="S1066" s="407"/>
      <c r="T1066" s="407"/>
      <c r="U1066" s="407"/>
      <c r="V1066" s="407"/>
      <c r="W1066" s="407"/>
      <c r="X1066" s="407"/>
      <c r="Y1066" s="407"/>
      <c r="Z1066" s="307">
        <v>0</v>
      </c>
      <c r="AA1066" s="407">
        <f t="shared" si="135"/>
        <v>0</v>
      </c>
      <c r="AC1066" s="499"/>
      <c r="AD1066" s="512"/>
      <c r="AE1066" s="512"/>
      <c r="AF1066" s="512"/>
      <c r="AG1066" s="507"/>
      <c r="AH1066" s="507"/>
    </row>
    <row r="1067" spans="1:34" ht="47.25" customHeight="1" hidden="1">
      <c r="A1067" s="608"/>
      <c r="B1067" s="607"/>
      <c r="C1067" s="325"/>
      <c r="D1067" s="83" t="s">
        <v>933</v>
      </c>
      <c r="E1067" s="292">
        <v>200</v>
      </c>
      <c r="F1067" s="143">
        <f t="shared" si="140"/>
        <v>1</v>
      </c>
      <c r="G1067" s="292">
        <v>200</v>
      </c>
      <c r="H1067" s="427"/>
      <c r="I1067" s="307">
        <v>0</v>
      </c>
      <c r="J1067" s="307"/>
      <c r="K1067" s="307"/>
      <c r="L1067" s="307"/>
      <c r="M1067" s="307"/>
      <c r="N1067" s="407"/>
      <c r="O1067" s="307">
        <v>0</v>
      </c>
      <c r="P1067" s="407"/>
      <c r="Q1067" s="407"/>
      <c r="R1067" s="407"/>
      <c r="S1067" s="407"/>
      <c r="T1067" s="407"/>
      <c r="U1067" s="407"/>
      <c r="V1067" s="407"/>
      <c r="W1067" s="407"/>
      <c r="X1067" s="407"/>
      <c r="Y1067" s="407"/>
      <c r="Z1067" s="307">
        <v>0</v>
      </c>
      <c r="AA1067" s="407">
        <f t="shared" si="135"/>
        <v>0</v>
      </c>
      <c r="AC1067" s="499"/>
      <c r="AD1067" s="512"/>
      <c r="AE1067" s="512"/>
      <c r="AF1067" s="512"/>
      <c r="AG1067" s="507"/>
      <c r="AH1067" s="507"/>
    </row>
    <row r="1068" spans="1:34" ht="31.5" customHeight="1" hidden="1">
      <c r="A1068" s="608"/>
      <c r="B1068" s="607"/>
      <c r="C1068" s="325"/>
      <c r="D1068" s="83" t="s">
        <v>1687</v>
      </c>
      <c r="E1068" s="292">
        <v>150</v>
      </c>
      <c r="F1068" s="143">
        <f t="shared" si="140"/>
        <v>1</v>
      </c>
      <c r="G1068" s="292">
        <v>150</v>
      </c>
      <c r="H1068" s="427"/>
      <c r="I1068" s="307">
        <v>0</v>
      </c>
      <c r="J1068" s="307"/>
      <c r="K1068" s="307"/>
      <c r="L1068" s="307"/>
      <c r="M1068" s="307"/>
      <c r="N1068" s="407"/>
      <c r="O1068" s="307">
        <v>0</v>
      </c>
      <c r="P1068" s="407"/>
      <c r="Q1068" s="407"/>
      <c r="R1068" s="407"/>
      <c r="S1068" s="407"/>
      <c r="T1068" s="407"/>
      <c r="U1068" s="407"/>
      <c r="V1068" s="407"/>
      <c r="W1068" s="407"/>
      <c r="X1068" s="407"/>
      <c r="Y1068" s="407"/>
      <c r="Z1068" s="307">
        <v>0</v>
      </c>
      <c r="AA1068" s="407">
        <f t="shared" si="135"/>
        <v>0</v>
      </c>
      <c r="AC1068" s="499"/>
      <c r="AD1068" s="512"/>
      <c r="AE1068" s="512"/>
      <c r="AF1068" s="512"/>
      <c r="AG1068" s="507"/>
      <c r="AH1068" s="507"/>
    </row>
    <row r="1069" spans="1:34" ht="47.25">
      <c r="A1069" s="608"/>
      <c r="B1069" s="607"/>
      <c r="C1069" s="325"/>
      <c r="D1069" s="83" t="s">
        <v>1688</v>
      </c>
      <c r="E1069" s="292">
        <v>976</v>
      </c>
      <c r="F1069" s="143">
        <f t="shared" si="140"/>
        <v>1</v>
      </c>
      <c r="G1069" s="292">
        <v>976</v>
      </c>
      <c r="H1069" s="427">
        <v>3132</v>
      </c>
      <c r="I1069" s="307">
        <v>9729.33</v>
      </c>
      <c r="J1069" s="307"/>
      <c r="K1069" s="307"/>
      <c r="L1069" s="307">
        <v>9729.33</v>
      </c>
      <c r="M1069" s="307"/>
      <c r="N1069" s="407"/>
      <c r="O1069" s="307">
        <v>9729.33</v>
      </c>
      <c r="P1069" s="407"/>
      <c r="Q1069" s="407"/>
      <c r="R1069" s="407"/>
      <c r="S1069" s="407"/>
      <c r="T1069" s="407"/>
      <c r="U1069" s="407"/>
      <c r="V1069" s="407"/>
      <c r="W1069" s="407"/>
      <c r="X1069" s="407"/>
      <c r="Y1069" s="407"/>
      <c r="Z1069" s="307">
        <v>9729.33</v>
      </c>
      <c r="AA1069" s="407">
        <f t="shared" si="135"/>
        <v>0</v>
      </c>
      <c r="AC1069" s="499"/>
      <c r="AD1069" s="512">
        <v>9729.33</v>
      </c>
      <c r="AE1069" s="512"/>
      <c r="AF1069" s="512" t="s">
        <v>802</v>
      </c>
      <c r="AG1069" s="507"/>
      <c r="AH1069" s="507"/>
    </row>
    <row r="1070" spans="1:34" s="362" customFormat="1" ht="31.5">
      <c r="A1070" s="608"/>
      <c r="B1070" s="607"/>
      <c r="C1070" s="325"/>
      <c r="D1070" s="375" t="s">
        <v>66</v>
      </c>
      <c r="E1070" s="292"/>
      <c r="F1070" s="143"/>
      <c r="G1070" s="292"/>
      <c r="H1070" s="427">
        <v>3142</v>
      </c>
      <c r="I1070" s="307">
        <v>50000</v>
      </c>
      <c r="J1070" s="307"/>
      <c r="K1070" s="307"/>
      <c r="L1070" s="76"/>
      <c r="M1070" s="76">
        <v>50000</v>
      </c>
      <c r="N1070" s="407"/>
      <c r="O1070" s="407"/>
      <c r="P1070" s="407"/>
      <c r="Q1070" s="407"/>
      <c r="R1070" s="407"/>
      <c r="S1070" s="407"/>
      <c r="T1070" s="407"/>
      <c r="U1070" s="407">
        <v>50000</v>
      </c>
      <c r="V1070" s="407"/>
      <c r="W1070" s="407"/>
      <c r="X1070" s="407"/>
      <c r="Y1070" s="407"/>
      <c r="Z1070" s="407"/>
      <c r="AA1070" s="407">
        <f aca="true" t="shared" si="141" ref="AA1070:AA1136">N1070+O1070+P1070+Q1070+R1070+S1070+T1070+U1070+V1070+W1070+X1070-Z1070</f>
        <v>50000</v>
      </c>
      <c r="AC1070" s="501"/>
      <c r="AD1070" s="512">
        <v>50000</v>
      </c>
      <c r="AE1070" s="512"/>
      <c r="AF1070" s="512"/>
      <c r="AG1070" s="507"/>
      <c r="AH1070" s="507"/>
    </row>
    <row r="1071" spans="1:34" s="362" customFormat="1" ht="31.5">
      <c r="A1071" s="608"/>
      <c r="B1071" s="607"/>
      <c r="C1071" s="325"/>
      <c r="D1071" s="375" t="s">
        <v>25</v>
      </c>
      <c r="E1071" s="292"/>
      <c r="F1071" s="143"/>
      <c r="G1071" s="292"/>
      <c r="H1071" s="427">
        <v>3122</v>
      </c>
      <c r="I1071" s="307">
        <v>570500</v>
      </c>
      <c r="J1071" s="307"/>
      <c r="K1071" s="307"/>
      <c r="L1071" s="76"/>
      <c r="M1071" s="76">
        <v>570500</v>
      </c>
      <c r="N1071" s="407"/>
      <c r="O1071" s="407"/>
      <c r="P1071" s="407"/>
      <c r="Q1071" s="407"/>
      <c r="R1071" s="407">
        <v>31000</v>
      </c>
      <c r="S1071" s="407">
        <v>200000</v>
      </c>
      <c r="T1071" s="407">
        <v>200000</v>
      </c>
      <c r="U1071" s="407">
        <v>139500</v>
      </c>
      <c r="V1071" s="407"/>
      <c r="W1071" s="407"/>
      <c r="X1071" s="407"/>
      <c r="Y1071" s="407"/>
      <c r="Z1071" s="407">
        <f>1214.4+3483.2</f>
        <v>4697.6</v>
      </c>
      <c r="AA1071" s="407">
        <f t="shared" si="141"/>
        <v>565802.4</v>
      </c>
      <c r="AC1071" s="501"/>
      <c r="AD1071" s="512">
        <v>570500</v>
      </c>
      <c r="AE1071" s="512"/>
      <c r="AF1071" s="512"/>
      <c r="AG1071" s="507"/>
      <c r="AH1071" s="507"/>
    </row>
    <row r="1072" spans="1:34" s="362" customFormat="1" ht="31.5">
      <c r="A1072" s="608"/>
      <c r="B1072" s="607"/>
      <c r="C1072" s="325"/>
      <c r="D1072" s="375" t="s">
        <v>199</v>
      </c>
      <c r="E1072" s="292"/>
      <c r="F1072" s="143"/>
      <c r="G1072" s="292"/>
      <c r="H1072" s="427">
        <v>3142</v>
      </c>
      <c r="I1072" s="307">
        <v>810500</v>
      </c>
      <c r="J1072" s="307"/>
      <c r="K1072" s="307"/>
      <c r="L1072" s="76"/>
      <c r="M1072" s="76">
        <v>810500</v>
      </c>
      <c r="N1072" s="407"/>
      <c r="O1072" s="407"/>
      <c r="P1072" s="407"/>
      <c r="Q1072" s="407"/>
      <c r="R1072" s="407">
        <v>97000</v>
      </c>
      <c r="S1072" s="407">
        <v>300000</v>
      </c>
      <c r="T1072" s="407">
        <v>300000</v>
      </c>
      <c r="U1072" s="407">
        <v>113500</v>
      </c>
      <c r="V1072" s="407"/>
      <c r="W1072" s="407"/>
      <c r="X1072" s="407"/>
      <c r="Y1072" s="407"/>
      <c r="Z1072" s="407">
        <v>25359.6</v>
      </c>
      <c r="AA1072" s="407">
        <f t="shared" si="141"/>
        <v>785140.4</v>
      </c>
      <c r="AC1072" s="501"/>
      <c r="AD1072" s="512">
        <v>810500</v>
      </c>
      <c r="AE1072" s="512"/>
      <c r="AF1072" s="512"/>
      <c r="AG1072" s="507"/>
      <c r="AH1072" s="507"/>
    </row>
    <row r="1073" spans="1:34" s="362" customFormat="1" ht="31.5">
      <c r="A1073" s="608"/>
      <c r="B1073" s="607"/>
      <c r="C1073" s="325"/>
      <c r="D1073" s="375" t="s">
        <v>200</v>
      </c>
      <c r="E1073" s="292"/>
      <c r="F1073" s="143"/>
      <c r="G1073" s="292"/>
      <c r="H1073" s="427">
        <v>3132</v>
      </c>
      <c r="I1073" s="307">
        <v>2019000</v>
      </c>
      <c r="J1073" s="307"/>
      <c r="K1073" s="307"/>
      <c r="L1073" s="76"/>
      <c r="M1073" s="76">
        <v>2019000</v>
      </c>
      <c r="N1073" s="407"/>
      <c r="O1073" s="407"/>
      <c r="P1073" s="407"/>
      <c r="Q1073" s="407"/>
      <c r="R1073" s="407">
        <v>270000</v>
      </c>
      <c r="S1073" s="407">
        <v>600000</v>
      </c>
      <c r="T1073" s="407">
        <v>500000</v>
      </c>
      <c r="U1073" s="407">
        <v>649000</v>
      </c>
      <c r="V1073" s="407"/>
      <c r="W1073" s="407"/>
      <c r="X1073" s="407"/>
      <c r="Y1073" s="407"/>
      <c r="Z1073" s="407">
        <f>1324.39+6565.2+30240+19844.4+780.43</f>
        <v>58754.42</v>
      </c>
      <c r="AA1073" s="407">
        <f t="shared" si="141"/>
        <v>1960245.58</v>
      </c>
      <c r="AC1073" s="501"/>
      <c r="AD1073" s="512">
        <v>2019000</v>
      </c>
      <c r="AE1073" s="512"/>
      <c r="AF1073" s="512" t="s">
        <v>803</v>
      </c>
      <c r="AG1073" s="507"/>
      <c r="AH1073" s="507"/>
    </row>
    <row r="1074" spans="1:34" s="362" customFormat="1" ht="31.5" hidden="1">
      <c r="A1074" s="608"/>
      <c r="B1074" s="607"/>
      <c r="C1074" s="325"/>
      <c r="D1074" s="375" t="s">
        <v>1086</v>
      </c>
      <c r="E1074" s="292"/>
      <c r="F1074" s="143"/>
      <c r="G1074" s="292"/>
      <c r="H1074" s="427">
        <v>3122</v>
      </c>
      <c r="I1074" s="307">
        <f>90000-90000</f>
        <v>0</v>
      </c>
      <c r="J1074" s="307"/>
      <c r="K1074" s="307"/>
      <c r="L1074" s="76"/>
      <c r="M1074" s="76">
        <v>90000</v>
      </c>
      <c r="N1074" s="407"/>
      <c r="O1074" s="407"/>
      <c r="P1074" s="407"/>
      <c r="Q1074" s="407"/>
      <c r="R1074" s="407"/>
      <c r="S1074" s="407"/>
      <c r="T1074" s="407"/>
      <c r="U1074" s="407">
        <v>20000</v>
      </c>
      <c r="V1074" s="407">
        <v>35000</v>
      </c>
      <c r="W1074" s="407">
        <f>35000-90000</f>
        <v>-55000</v>
      </c>
      <c r="X1074" s="407"/>
      <c r="Y1074" s="407"/>
      <c r="Z1074" s="407"/>
      <c r="AA1074" s="407">
        <f t="shared" si="141"/>
        <v>0</v>
      </c>
      <c r="AC1074" s="501"/>
      <c r="AD1074" s="512">
        <v>90000</v>
      </c>
      <c r="AE1074" s="512"/>
      <c r="AF1074" s="512"/>
      <c r="AG1074" s="507"/>
      <c r="AH1074" s="507"/>
    </row>
    <row r="1075" spans="1:34" s="362" customFormat="1" ht="31.5">
      <c r="A1075" s="608"/>
      <c r="B1075" s="607"/>
      <c r="C1075" s="325"/>
      <c r="D1075" s="375" t="s">
        <v>1087</v>
      </c>
      <c r="E1075" s="292"/>
      <c r="F1075" s="143"/>
      <c r="G1075" s="292"/>
      <c r="H1075" s="427">
        <v>3142</v>
      </c>
      <c r="I1075" s="307">
        <v>1400000</v>
      </c>
      <c r="J1075" s="307"/>
      <c r="K1075" s="307"/>
      <c r="L1075" s="76"/>
      <c r="M1075" s="76">
        <v>1400000</v>
      </c>
      <c r="N1075" s="407"/>
      <c r="O1075" s="407"/>
      <c r="P1075" s="407"/>
      <c r="Q1075" s="407"/>
      <c r="R1075" s="407"/>
      <c r="S1075" s="407"/>
      <c r="T1075" s="407">
        <v>600000</v>
      </c>
      <c r="U1075" s="407">
        <v>800000</v>
      </c>
      <c r="V1075" s="407"/>
      <c r="W1075" s="407"/>
      <c r="X1075" s="407"/>
      <c r="Y1075" s="407"/>
      <c r="Z1075" s="407"/>
      <c r="AA1075" s="407">
        <f t="shared" si="141"/>
        <v>1400000</v>
      </c>
      <c r="AC1075" s="501"/>
      <c r="AD1075" s="512">
        <v>1400000</v>
      </c>
      <c r="AE1075" s="512"/>
      <c r="AF1075" s="512"/>
      <c r="AG1075" s="507"/>
      <c r="AH1075" s="507"/>
    </row>
    <row r="1076" spans="1:34" s="362" customFormat="1" ht="31.5">
      <c r="A1076" s="608"/>
      <c r="B1076" s="607"/>
      <c r="C1076" s="325"/>
      <c r="D1076" s="375" t="s">
        <v>1088</v>
      </c>
      <c r="E1076" s="292"/>
      <c r="F1076" s="143"/>
      <c r="G1076" s="292"/>
      <c r="H1076" s="427">
        <v>3142</v>
      </c>
      <c r="I1076" s="307">
        <v>100000</v>
      </c>
      <c r="J1076" s="307"/>
      <c r="K1076" s="307"/>
      <c r="L1076" s="76"/>
      <c r="M1076" s="76">
        <v>100000</v>
      </c>
      <c r="N1076" s="407"/>
      <c r="O1076" s="407"/>
      <c r="P1076" s="407"/>
      <c r="Q1076" s="407"/>
      <c r="R1076" s="407"/>
      <c r="S1076" s="407"/>
      <c r="T1076" s="407">
        <v>25000</v>
      </c>
      <c r="U1076" s="407">
        <v>30000</v>
      </c>
      <c r="V1076" s="407">
        <v>45000</v>
      </c>
      <c r="W1076" s="407"/>
      <c r="X1076" s="407"/>
      <c r="Y1076" s="407"/>
      <c r="Z1076" s="407"/>
      <c r="AA1076" s="407">
        <f t="shared" si="141"/>
        <v>100000</v>
      </c>
      <c r="AC1076" s="501"/>
      <c r="AD1076" s="512">
        <v>100000</v>
      </c>
      <c r="AE1076" s="512"/>
      <c r="AF1076" s="512"/>
      <c r="AG1076" s="507"/>
      <c r="AH1076" s="507"/>
    </row>
    <row r="1077" spans="1:34" s="362" customFormat="1" ht="63.75">
      <c r="A1077" s="608"/>
      <c r="B1077" s="607"/>
      <c r="C1077" s="325"/>
      <c r="D1077" s="375" t="s">
        <v>1089</v>
      </c>
      <c r="E1077" s="292"/>
      <c r="F1077" s="143"/>
      <c r="G1077" s="292"/>
      <c r="H1077" s="427">
        <v>3142</v>
      </c>
      <c r="I1077" s="307">
        <f>2000000-16000-1432530.6</f>
        <v>551469.4</v>
      </c>
      <c r="J1077" s="307"/>
      <c r="K1077" s="307"/>
      <c r="L1077" s="76"/>
      <c r="M1077" s="76">
        <v>2000000</v>
      </c>
      <c r="N1077" s="407"/>
      <c r="O1077" s="407"/>
      <c r="P1077" s="407"/>
      <c r="Q1077" s="407"/>
      <c r="R1077" s="407">
        <v>285000</v>
      </c>
      <c r="S1077" s="407"/>
      <c r="T1077" s="407"/>
      <c r="U1077" s="407">
        <f>515000-300000</f>
        <v>215000</v>
      </c>
      <c r="V1077" s="407">
        <f>600000-600000</f>
        <v>0</v>
      </c>
      <c r="W1077" s="407">
        <f>600000-600000-16000</f>
        <v>-16000</v>
      </c>
      <c r="X1077" s="407">
        <f>1500000-1432530.6</f>
        <v>67469.4</v>
      </c>
      <c r="Y1077" s="407"/>
      <c r="Z1077" s="407">
        <v>159702.2</v>
      </c>
      <c r="AA1077" s="407">
        <f t="shared" si="141"/>
        <v>391767.2</v>
      </c>
      <c r="AC1077" s="501"/>
      <c r="AD1077" s="512">
        <v>2000000</v>
      </c>
      <c r="AE1077" s="512" t="s">
        <v>1542</v>
      </c>
      <c r="AF1077" s="512" t="s">
        <v>804</v>
      </c>
      <c r="AG1077" s="507" t="s">
        <v>1626</v>
      </c>
      <c r="AH1077" s="507" t="s">
        <v>1542</v>
      </c>
    </row>
    <row r="1078" spans="1:34" s="362" customFormat="1" ht="15.75">
      <c r="A1078" s="608"/>
      <c r="B1078" s="607"/>
      <c r="C1078" s="325"/>
      <c r="D1078" s="13" t="s">
        <v>244</v>
      </c>
      <c r="E1078" s="292"/>
      <c r="F1078" s="143"/>
      <c r="G1078" s="292"/>
      <c r="H1078" s="427">
        <v>3142</v>
      </c>
      <c r="I1078" s="307">
        <v>200000</v>
      </c>
      <c r="J1078" s="307"/>
      <c r="K1078" s="307"/>
      <c r="L1078" s="76"/>
      <c r="M1078" s="76">
        <v>200000</v>
      </c>
      <c r="N1078" s="407"/>
      <c r="O1078" s="407"/>
      <c r="P1078" s="407"/>
      <c r="Q1078" s="407"/>
      <c r="R1078" s="407">
        <v>50000</v>
      </c>
      <c r="S1078" s="407"/>
      <c r="T1078" s="407"/>
      <c r="U1078" s="407">
        <v>75000</v>
      </c>
      <c r="V1078" s="407">
        <v>75000</v>
      </c>
      <c r="W1078" s="407"/>
      <c r="X1078" s="407"/>
      <c r="Y1078" s="407"/>
      <c r="Z1078" s="407"/>
      <c r="AA1078" s="407">
        <f t="shared" si="141"/>
        <v>200000</v>
      </c>
      <c r="AC1078" s="501"/>
      <c r="AD1078" s="512">
        <v>200000</v>
      </c>
      <c r="AE1078" s="512"/>
      <c r="AF1078" s="512"/>
      <c r="AG1078" s="507"/>
      <c r="AH1078" s="507"/>
    </row>
    <row r="1079" spans="1:34" s="362" customFormat="1" ht="47.25">
      <c r="A1079" s="608"/>
      <c r="B1079" s="607"/>
      <c r="C1079" s="325"/>
      <c r="D1079" s="13" t="s">
        <v>245</v>
      </c>
      <c r="E1079" s="292"/>
      <c r="F1079" s="143"/>
      <c r="G1079" s="292"/>
      <c r="H1079" s="427">
        <v>3142</v>
      </c>
      <c r="I1079" s="307">
        <v>650000</v>
      </c>
      <c r="J1079" s="307"/>
      <c r="K1079" s="307"/>
      <c r="L1079" s="76"/>
      <c r="M1079" s="76">
        <v>650000</v>
      </c>
      <c r="N1079" s="407"/>
      <c r="O1079" s="407"/>
      <c r="P1079" s="407"/>
      <c r="Q1079" s="407"/>
      <c r="R1079" s="407">
        <v>50000</v>
      </c>
      <c r="S1079" s="407">
        <v>300000</v>
      </c>
      <c r="T1079" s="407">
        <v>300000</v>
      </c>
      <c r="U1079" s="407"/>
      <c r="V1079" s="407"/>
      <c r="W1079" s="407"/>
      <c r="X1079" s="407"/>
      <c r="Y1079" s="407"/>
      <c r="Z1079" s="407"/>
      <c r="AA1079" s="407">
        <f t="shared" si="141"/>
        <v>650000</v>
      </c>
      <c r="AC1079" s="501"/>
      <c r="AD1079" s="512">
        <v>650000</v>
      </c>
      <c r="AE1079" s="512"/>
      <c r="AF1079" s="512"/>
      <c r="AG1079" s="507"/>
      <c r="AH1079" s="507"/>
    </row>
    <row r="1080" spans="1:34" s="362" customFormat="1" ht="52.5" customHeight="1">
      <c r="A1080" s="608"/>
      <c r="B1080" s="607"/>
      <c r="C1080" s="325"/>
      <c r="D1080" s="13" t="s">
        <v>268</v>
      </c>
      <c r="E1080" s="292"/>
      <c r="F1080" s="143"/>
      <c r="G1080" s="292"/>
      <c r="H1080" s="427">
        <v>3142</v>
      </c>
      <c r="I1080" s="307">
        <v>3700000</v>
      </c>
      <c r="J1080" s="307"/>
      <c r="K1080" s="307"/>
      <c r="L1080" s="76"/>
      <c r="M1080" s="76">
        <v>3700000</v>
      </c>
      <c r="N1080" s="407"/>
      <c r="O1080" s="407"/>
      <c r="P1080" s="407"/>
      <c r="Q1080" s="407"/>
      <c r="R1080" s="407">
        <v>80000</v>
      </c>
      <c r="S1080" s="407">
        <f>100000+100000</f>
        <v>200000</v>
      </c>
      <c r="T1080" s="407">
        <f>100000-100000+50000</f>
        <v>50000</v>
      </c>
      <c r="U1080" s="407"/>
      <c r="V1080" s="407">
        <f>1000000-1000000</f>
        <v>0</v>
      </c>
      <c r="W1080" s="407">
        <f>1000000-50000</f>
        <v>950000</v>
      </c>
      <c r="X1080" s="407">
        <f>1420000+1000000</f>
        <v>2420000</v>
      </c>
      <c r="Y1080" s="407"/>
      <c r="Z1080" s="407">
        <f>250000-250000+250000+32320.94+6404.4+22470.11</f>
        <v>311195.45</v>
      </c>
      <c r="AA1080" s="407">
        <f t="shared" si="141"/>
        <v>3388804.55</v>
      </c>
      <c r="AC1080" s="501"/>
      <c r="AD1080" s="512">
        <v>3700000</v>
      </c>
      <c r="AE1080" s="512">
        <v>20128399</v>
      </c>
      <c r="AF1080" s="512" t="s">
        <v>810</v>
      </c>
      <c r="AG1080" s="507" t="s">
        <v>811</v>
      </c>
      <c r="AH1080" s="507"/>
    </row>
    <row r="1081" spans="1:34" s="362" customFormat="1" ht="38.25">
      <c r="A1081" s="608"/>
      <c r="B1081" s="607"/>
      <c r="C1081" s="325"/>
      <c r="D1081" s="13" t="s">
        <v>177</v>
      </c>
      <c r="E1081" s="292"/>
      <c r="F1081" s="143"/>
      <c r="G1081" s="292"/>
      <c r="H1081" s="427">
        <v>3142</v>
      </c>
      <c r="I1081" s="307">
        <v>2000000</v>
      </c>
      <c r="J1081" s="307"/>
      <c r="K1081" s="307"/>
      <c r="L1081" s="76"/>
      <c r="M1081" s="76">
        <v>2000000</v>
      </c>
      <c r="N1081" s="407"/>
      <c r="O1081" s="407"/>
      <c r="P1081" s="407"/>
      <c r="Q1081" s="407"/>
      <c r="R1081" s="407">
        <f>500000-8000</f>
        <v>492000</v>
      </c>
      <c r="S1081" s="407">
        <v>8000</v>
      </c>
      <c r="T1081" s="407"/>
      <c r="U1081" s="407">
        <v>750000</v>
      </c>
      <c r="V1081" s="407">
        <v>750000</v>
      </c>
      <c r="W1081" s="407"/>
      <c r="X1081" s="407"/>
      <c r="Y1081" s="407"/>
      <c r="Z1081" s="407">
        <f>118203+156797+4134+119010</f>
        <v>398144</v>
      </c>
      <c r="AA1081" s="407">
        <f t="shared" si="141"/>
        <v>1601856</v>
      </c>
      <c r="AC1081" s="501"/>
      <c r="AD1081" s="512">
        <v>2000000</v>
      </c>
      <c r="AE1081" s="512">
        <v>12977725</v>
      </c>
      <c r="AF1081" s="512" t="s">
        <v>812</v>
      </c>
      <c r="AG1081" s="507" t="s">
        <v>811</v>
      </c>
      <c r="AH1081" s="507"/>
    </row>
    <row r="1082" spans="1:34" s="362" customFormat="1" ht="63.75">
      <c r="A1082" s="608"/>
      <c r="B1082" s="607"/>
      <c r="C1082" s="325"/>
      <c r="D1082" s="13" t="s">
        <v>888</v>
      </c>
      <c r="E1082" s="292"/>
      <c r="F1082" s="143"/>
      <c r="G1082" s="292"/>
      <c r="H1082" s="427">
        <v>3142</v>
      </c>
      <c r="I1082" s="307">
        <v>200000</v>
      </c>
      <c r="J1082" s="307"/>
      <c r="K1082" s="307"/>
      <c r="L1082" s="76"/>
      <c r="M1082" s="76">
        <v>200000</v>
      </c>
      <c r="N1082" s="407"/>
      <c r="O1082" s="407"/>
      <c r="P1082" s="407"/>
      <c r="Q1082" s="407"/>
      <c r="R1082" s="407">
        <v>100000</v>
      </c>
      <c r="S1082" s="407">
        <v>-100000</v>
      </c>
      <c r="T1082" s="407">
        <f>100000+100000</f>
        <v>200000</v>
      </c>
      <c r="U1082" s="407"/>
      <c r="V1082" s="407"/>
      <c r="W1082" s="407"/>
      <c r="X1082" s="407"/>
      <c r="Y1082" s="407"/>
      <c r="Z1082" s="407"/>
      <c r="AA1082" s="407">
        <f t="shared" si="141"/>
        <v>200000</v>
      </c>
      <c r="AC1082" s="501"/>
      <c r="AD1082" s="512">
        <v>200000</v>
      </c>
      <c r="AE1082" s="512">
        <v>16026991</v>
      </c>
      <c r="AF1082" s="512" t="s">
        <v>813</v>
      </c>
      <c r="AG1082" s="507" t="s">
        <v>811</v>
      </c>
      <c r="AH1082" s="507"/>
    </row>
    <row r="1083" spans="1:34" s="362" customFormat="1" ht="51">
      <c r="A1083" s="608"/>
      <c r="B1083" s="607"/>
      <c r="C1083" s="325"/>
      <c r="D1083" s="13" t="s">
        <v>889</v>
      </c>
      <c r="E1083" s="292"/>
      <c r="F1083" s="143"/>
      <c r="G1083" s="292"/>
      <c r="H1083" s="427">
        <v>3142</v>
      </c>
      <c r="I1083" s="307">
        <v>200000</v>
      </c>
      <c r="J1083" s="307"/>
      <c r="K1083" s="307"/>
      <c r="L1083" s="76"/>
      <c r="M1083" s="76">
        <v>200000</v>
      </c>
      <c r="N1083" s="407"/>
      <c r="O1083" s="407"/>
      <c r="P1083" s="407"/>
      <c r="Q1083" s="407"/>
      <c r="R1083" s="407">
        <v>50000</v>
      </c>
      <c r="S1083" s="407"/>
      <c r="T1083" s="407"/>
      <c r="U1083" s="407">
        <v>75000</v>
      </c>
      <c r="V1083" s="407">
        <v>75000</v>
      </c>
      <c r="W1083" s="407"/>
      <c r="X1083" s="407"/>
      <c r="Y1083" s="407"/>
      <c r="Z1083" s="407"/>
      <c r="AA1083" s="407">
        <f t="shared" si="141"/>
        <v>200000</v>
      </c>
      <c r="AC1083" s="501"/>
      <c r="AD1083" s="512">
        <v>200000</v>
      </c>
      <c r="AE1083" s="512" t="s">
        <v>1542</v>
      </c>
      <c r="AF1083" s="512"/>
      <c r="AG1083" s="507" t="s">
        <v>1626</v>
      </c>
      <c r="AH1083" s="507" t="s">
        <v>1542</v>
      </c>
    </row>
    <row r="1084" spans="1:34" s="362" customFormat="1" ht="51">
      <c r="A1084" s="608"/>
      <c r="B1084" s="607"/>
      <c r="C1084" s="325"/>
      <c r="D1084" s="13" t="s">
        <v>1930</v>
      </c>
      <c r="E1084" s="292"/>
      <c r="F1084" s="143"/>
      <c r="G1084" s="292"/>
      <c r="H1084" s="427">
        <v>3142</v>
      </c>
      <c r="I1084" s="307">
        <f>1000000-687216.83</f>
        <v>312783.17</v>
      </c>
      <c r="J1084" s="307"/>
      <c r="K1084" s="307"/>
      <c r="L1084" s="76"/>
      <c r="M1084" s="76">
        <v>1000000</v>
      </c>
      <c r="N1084" s="407"/>
      <c r="O1084" s="407"/>
      <c r="P1084" s="407"/>
      <c r="Q1084" s="407"/>
      <c r="R1084" s="407">
        <v>70000</v>
      </c>
      <c r="S1084" s="407">
        <v>80000</v>
      </c>
      <c r="T1084" s="407">
        <v>283000</v>
      </c>
      <c r="U1084" s="407">
        <f>283000-283000</f>
        <v>0</v>
      </c>
      <c r="V1084" s="407">
        <f>284000-284000</f>
        <v>0</v>
      </c>
      <c r="W1084" s="407">
        <v>-200000</v>
      </c>
      <c r="X1084" s="407">
        <f>567000-487216.83</f>
        <v>79783.17</v>
      </c>
      <c r="Y1084" s="407"/>
      <c r="Z1084" s="407">
        <v>84309</v>
      </c>
      <c r="AA1084" s="407">
        <f t="shared" si="141"/>
        <v>228474.17</v>
      </c>
      <c r="AC1084" s="501"/>
      <c r="AD1084" s="512">
        <v>1000000</v>
      </c>
      <c r="AE1084" s="512" t="s">
        <v>1542</v>
      </c>
      <c r="AF1084" s="512" t="s">
        <v>814</v>
      </c>
      <c r="AG1084" s="507" t="s">
        <v>1626</v>
      </c>
      <c r="AH1084" s="507" t="s">
        <v>1542</v>
      </c>
    </row>
    <row r="1085" spans="1:34" s="362" customFormat="1" ht="127.5">
      <c r="A1085" s="608"/>
      <c r="B1085" s="607"/>
      <c r="C1085" s="325"/>
      <c r="D1085" s="14" t="s">
        <v>890</v>
      </c>
      <c r="E1085" s="292"/>
      <c r="F1085" s="143"/>
      <c r="G1085" s="292"/>
      <c r="H1085" s="427">
        <v>3132</v>
      </c>
      <c r="I1085" s="307">
        <v>303000</v>
      </c>
      <c r="J1085" s="307"/>
      <c r="K1085" s="307"/>
      <c r="L1085" s="76"/>
      <c r="M1085" s="76">
        <v>303000</v>
      </c>
      <c r="N1085" s="407"/>
      <c r="O1085" s="407"/>
      <c r="P1085" s="407"/>
      <c r="Q1085" s="407"/>
      <c r="R1085" s="407"/>
      <c r="S1085" s="407"/>
      <c r="T1085" s="407">
        <v>303000</v>
      </c>
      <c r="U1085" s="407"/>
      <c r="V1085" s="407"/>
      <c r="W1085" s="407"/>
      <c r="X1085" s="407"/>
      <c r="Y1085" s="407"/>
      <c r="Z1085" s="407">
        <f>218866.8+6042</f>
        <v>224908.8</v>
      </c>
      <c r="AA1085" s="407">
        <f t="shared" si="141"/>
        <v>78091.2</v>
      </c>
      <c r="AC1085" s="501"/>
      <c r="AD1085" s="512">
        <v>303000</v>
      </c>
      <c r="AE1085" s="512">
        <v>979985</v>
      </c>
      <c r="AF1085" s="512" t="s">
        <v>1803</v>
      </c>
      <c r="AG1085" s="507" t="s">
        <v>732</v>
      </c>
      <c r="AH1085" s="507" t="s">
        <v>1629</v>
      </c>
    </row>
    <row r="1086" spans="1:34" s="362" customFormat="1" ht="51">
      <c r="A1086" s="608"/>
      <c r="B1086" s="607"/>
      <c r="C1086" s="325"/>
      <c r="D1086" s="14" t="s">
        <v>891</v>
      </c>
      <c r="E1086" s="292"/>
      <c r="F1086" s="143"/>
      <c r="G1086" s="292"/>
      <c r="H1086" s="427">
        <v>3132</v>
      </c>
      <c r="I1086" s="307">
        <v>3000</v>
      </c>
      <c r="J1086" s="307"/>
      <c r="K1086" s="307"/>
      <c r="L1086" s="76"/>
      <c r="M1086" s="76">
        <v>3000</v>
      </c>
      <c r="N1086" s="407"/>
      <c r="O1086" s="407"/>
      <c r="P1086" s="407"/>
      <c r="Q1086" s="407"/>
      <c r="R1086" s="407"/>
      <c r="S1086" s="407"/>
      <c r="T1086" s="407"/>
      <c r="U1086" s="407">
        <v>3000</v>
      </c>
      <c r="V1086" s="407"/>
      <c r="W1086" s="407"/>
      <c r="X1086" s="407"/>
      <c r="Y1086" s="407"/>
      <c r="Z1086" s="407">
        <v>520.8</v>
      </c>
      <c r="AA1086" s="407">
        <f t="shared" si="141"/>
        <v>2479.2</v>
      </c>
      <c r="AC1086" s="501"/>
      <c r="AD1086" s="512">
        <v>3000</v>
      </c>
      <c r="AE1086" s="512">
        <v>107446</v>
      </c>
      <c r="AF1086" s="512" t="s">
        <v>1804</v>
      </c>
      <c r="AG1086" s="507" t="s">
        <v>1805</v>
      </c>
      <c r="AH1086" s="507" t="s">
        <v>1629</v>
      </c>
    </row>
    <row r="1087" spans="1:34" s="362" customFormat="1" ht="51">
      <c r="A1087" s="608"/>
      <c r="B1087" s="607"/>
      <c r="C1087" s="325"/>
      <c r="D1087" s="14" t="s">
        <v>892</v>
      </c>
      <c r="E1087" s="292"/>
      <c r="F1087" s="143"/>
      <c r="G1087" s="292"/>
      <c r="H1087" s="427">
        <v>3132</v>
      </c>
      <c r="I1087" s="307">
        <v>3000</v>
      </c>
      <c r="J1087" s="307"/>
      <c r="K1087" s="307"/>
      <c r="L1087" s="76"/>
      <c r="M1087" s="76">
        <v>3000</v>
      </c>
      <c r="N1087" s="407"/>
      <c r="O1087" s="407"/>
      <c r="P1087" s="407"/>
      <c r="Q1087" s="407"/>
      <c r="R1087" s="407"/>
      <c r="S1087" s="407"/>
      <c r="T1087" s="407"/>
      <c r="U1087" s="407">
        <v>3000</v>
      </c>
      <c r="V1087" s="407"/>
      <c r="W1087" s="407"/>
      <c r="X1087" s="407"/>
      <c r="Y1087" s="407"/>
      <c r="Z1087" s="407">
        <f>1123.2-1123.2</f>
        <v>0</v>
      </c>
      <c r="AA1087" s="407">
        <f t="shared" si="141"/>
        <v>3000</v>
      </c>
      <c r="AC1087" s="501"/>
      <c r="AD1087" s="512">
        <v>3000</v>
      </c>
      <c r="AE1087" s="512">
        <v>92270</v>
      </c>
      <c r="AF1087" s="512" t="s">
        <v>1806</v>
      </c>
      <c r="AG1087" s="507" t="s">
        <v>1805</v>
      </c>
      <c r="AH1087" s="507" t="s">
        <v>1629</v>
      </c>
    </row>
    <row r="1088" spans="1:34" s="362" customFormat="1" ht="51">
      <c r="A1088" s="608"/>
      <c r="B1088" s="607"/>
      <c r="C1088" s="325"/>
      <c r="D1088" s="14" t="s">
        <v>699</v>
      </c>
      <c r="E1088" s="292"/>
      <c r="F1088" s="143"/>
      <c r="G1088" s="292"/>
      <c r="H1088" s="427">
        <v>3132</v>
      </c>
      <c r="I1088" s="307">
        <v>3000</v>
      </c>
      <c r="J1088" s="307"/>
      <c r="K1088" s="307"/>
      <c r="L1088" s="76"/>
      <c r="M1088" s="76">
        <v>3000</v>
      </c>
      <c r="N1088" s="407"/>
      <c r="O1088" s="407"/>
      <c r="P1088" s="407"/>
      <c r="Q1088" s="407"/>
      <c r="R1088" s="407"/>
      <c r="S1088" s="407"/>
      <c r="T1088" s="407"/>
      <c r="U1088" s="407">
        <v>3000</v>
      </c>
      <c r="V1088" s="407"/>
      <c r="W1088" s="407"/>
      <c r="X1088" s="407"/>
      <c r="Y1088" s="407"/>
      <c r="Z1088" s="407">
        <f>1066.8-1066.8</f>
        <v>0</v>
      </c>
      <c r="AA1088" s="407">
        <f t="shared" si="141"/>
        <v>3000</v>
      </c>
      <c r="AC1088" s="501"/>
      <c r="AD1088" s="512">
        <v>3000</v>
      </c>
      <c r="AE1088" s="512">
        <v>88909</v>
      </c>
      <c r="AF1088" s="512" t="s">
        <v>1807</v>
      </c>
      <c r="AG1088" s="507" t="s">
        <v>1805</v>
      </c>
      <c r="AH1088" s="507" t="s">
        <v>1629</v>
      </c>
    </row>
    <row r="1089" spans="1:34" s="362" customFormat="1" ht="51">
      <c r="A1089" s="608"/>
      <c r="B1089" s="607"/>
      <c r="C1089" s="325"/>
      <c r="D1089" s="14" t="s">
        <v>700</v>
      </c>
      <c r="E1089" s="292"/>
      <c r="F1089" s="143"/>
      <c r="G1089" s="292"/>
      <c r="H1089" s="427">
        <v>3132</v>
      </c>
      <c r="I1089" s="307">
        <v>3000</v>
      </c>
      <c r="J1089" s="307"/>
      <c r="K1089" s="307"/>
      <c r="L1089" s="76"/>
      <c r="M1089" s="76">
        <v>3000</v>
      </c>
      <c r="N1089" s="407"/>
      <c r="O1089" s="407"/>
      <c r="P1089" s="407"/>
      <c r="Q1089" s="407"/>
      <c r="R1089" s="407"/>
      <c r="S1089" s="407"/>
      <c r="T1089" s="407"/>
      <c r="U1089" s="407">
        <v>3000</v>
      </c>
      <c r="V1089" s="407"/>
      <c r="W1089" s="407"/>
      <c r="X1089" s="407"/>
      <c r="Y1089" s="407"/>
      <c r="Z1089" s="407">
        <f>944.4-944.4</f>
        <v>0</v>
      </c>
      <c r="AA1089" s="407">
        <f t="shared" si="141"/>
        <v>3000</v>
      </c>
      <c r="AC1089" s="501"/>
      <c r="AD1089" s="512">
        <v>3000</v>
      </c>
      <c r="AE1089" s="512">
        <v>75726</v>
      </c>
      <c r="AF1089" s="512" t="s">
        <v>1808</v>
      </c>
      <c r="AG1089" s="507" t="s">
        <v>1805</v>
      </c>
      <c r="AH1089" s="507" t="s">
        <v>1629</v>
      </c>
    </row>
    <row r="1090" spans="1:34" s="362" customFormat="1" ht="31.5" hidden="1">
      <c r="A1090" s="608"/>
      <c r="B1090" s="607"/>
      <c r="C1090" s="325"/>
      <c r="D1090" s="14" t="s">
        <v>180</v>
      </c>
      <c r="E1090" s="292"/>
      <c r="F1090" s="143"/>
      <c r="G1090" s="292"/>
      <c r="H1090" s="427">
        <v>3132</v>
      </c>
      <c r="I1090" s="307">
        <f>30000-30000</f>
        <v>0</v>
      </c>
      <c r="J1090" s="307"/>
      <c r="K1090" s="307"/>
      <c r="L1090" s="76"/>
      <c r="M1090" s="76">
        <v>30000</v>
      </c>
      <c r="N1090" s="407"/>
      <c r="O1090" s="407"/>
      <c r="P1090" s="407"/>
      <c r="Q1090" s="407"/>
      <c r="R1090" s="407"/>
      <c r="S1090" s="407">
        <v>15000</v>
      </c>
      <c r="T1090" s="407"/>
      <c r="U1090" s="407">
        <v>15000</v>
      </c>
      <c r="V1090" s="407"/>
      <c r="W1090" s="407">
        <v>-30000</v>
      </c>
      <c r="X1090" s="407"/>
      <c r="Y1090" s="407"/>
      <c r="Z1090" s="407"/>
      <c r="AA1090" s="407">
        <f t="shared" si="141"/>
        <v>0</v>
      </c>
      <c r="AC1090" s="501"/>
      <c r="AD1090" s="512">
        <v>30000</v>
      </c>
      <c r="AE1090" s="512"/>
      <c r="AF1090" s="512"/>
      <c r="AG1090" s="507"/>
      <c r="AH1090" s="507"/>
    </row>
    <row r="1091" spans="1:34" s="362" customFormat="1" ht="51">
      <c r="A1091" s="608"/>
      <c r="B1091" s="607"/>
      <c r="C1091" s="325"/>
      <c r="D1091" s="14" t="s">
        <v>1794</v>
      </c>
      <c r="E1091" s="292"/>
      <c r="F1091" s="143"/>
      <c r="G1091" s="292"/>
      <c r="H1091" s="427">
        <v>3132</v>
      </c>
      <c r="I1091" s="307">
        <v>75000</v>
      </c>
      <c r="J1091" s="307"/>
      <c r="K1091" s="307"/>
      <c r="L1091" s="76"/>
      <c r="M1091" s="76">
        <v>75000</v>
      </c>
      <c r="N1091" s="407"/>
      <c r="O1091" s="407"/>
      <c r="P1091" s="407"/>
      <c r="Q1091" s="407"/>
      <c r="R1091" s="407">
        <v>15000</v>
      </c>
      <c r="S1091" s="407">
        <v>60000</v>
      </c>
      <c r="T1091" s="407"/>
      <c r="U1091" s="407"/>
      <c r="V1091" s="407"/>
      <c r="W1091" s="407"/>
      <c r="X1091" s="407"/>
      <c r="Y1091" s="407"/>
      <c r="Z1091" s="407">
        <f>1681.8+2242.4+1320+1681.8</f>
        <v>6926</v>
      </c>
      <c r="AA1091" s="407">
        <f t="shared" si="141"/>
        <v>68074</v>
      </c>
      <c r="AC1091" s="501"/>
      <c r="AD1091" s="512">
        <v>75000</v>
      </c>
      <c r="AE1091" s="512">
        <v>368693</v>
      </c>
      <c r="AF1091" s="512" t="s">
        <v>935</v>
      </c>
      <c r="AG1091" s="507" t="s">
        <v>732</v>
      </c>
      <c r="AH1091" s="507" t="s">
        <v>1629</v>
      </c>
    </row>
    <row r="1092" spans="1:34" s="362" customFormat="1" ht="67.5" customHeight="1">
      <c r="A1092" s="608"/>
      <c r="B1092" s="607"/>
      <c r="C1092" s="325"/>
      <c r="D1092" s="14" t="s">
        <v>1795</v>
      </c>
      <c r="E1092" s="292"/>
      <c r="F1092" s="143"/>
      <c r="G1092" s="292"/>
      <c r="H1092" s="427">
        <v>3132</v>
      </c>
      <c r="I1092" s="307">
        <f>70000+171052</f>
        <v>241052</v>
      </c>
      <c r="J1092" s="307"/>
      <c r="K1092" s="307"/>
      <c r="L1092" s="76"/>
      <c r="M1092" s="76">
        <v>70000</v>
      </c>
      <c r="N1092" s="407"/>
      <c r="O1092" s="407"/>
      <c r="P1092" s="407"/>
      <c r="Q1092" s="407"/>
      <c r="R1092" s="407">
        <v>15000</v>
      </c>
      <c r="S1092" s="407">
        <v>55000</v>
      </c>
      <c r="T1092" s="407"/>
      <c r="U1092" s="407"/>
      <c r="V1092" s="407"/>
      <c r="W1092" s="407">
        <v>171052</v>
      </c>
      <c r="X1092" s="407"/>
      <c r="Y1092" s="407"/>
      <c r="Z1092" s="407">
        <f>1681.8+2242.4+1320+1681.8+97531</f>
        <v>104457</v>
      </c>
      <c r="AA1092" s="407">
        <f t="shared" si="141"/>
        <v>136595</v>
      </c>
      <c r="AC1092" s="501"/>
      <c r="AD1092" s="512">
        <v>70000</v>
      </c>
      <c r="AE1092" s="512">
        <v>244666</v>
      </c>
      <c r="AF1092" s="512" t="s">
        <v>936</v>
      </c>
      <c r="AG1092" s="507" t="s">
        <v>732</v>
      </c>
      <c r="AH1092" s="507" t="s">
        <v>1629</v>
      </c>
    </row>
    <row r="1093" spans="1:34" s="362" customFormat="1" ht="47.25">
      <c r="A1093" s="608"/>
      <c r="B1093" s="607"/>
      <c r="C1093" s="325"/>
      <c r="D1093" s="14" t="s">
        <v>1796</v>
      </c>
      <c r="E1093" s="292"/>
      <c r="F1093" s="143"/>
      <c r="G1093" s="292"/>
      <c r="H1093" s="427">
        <v>3132</v>
      </c>
      <c r="I1093" s="307">
        <v>90000</v>
      </c>
      <c r="J1093" s="307"/>
      <c r="K1093" s="307"/>
      <c r="L1093" s="76"/>
      <c r="M1093" s="76">
        <v>90000</v>
      </c>
      <c r="N1093" s="407"/>
      <c r="O1093" s="407"/>
      <c r="P1093" s="407"/>
      <c r="Q1093" s="407"/>
      <c r="R1093" s="407">
        <v>15000</v>
      </c>
      <c r="S1093" s="407">
        <v>75000</v>
      </c>
      <c r="T1093" s="407"/>
      <c r="U1093" s="407"/>
      <c r="V1093" s="407"/>
      <c r="W1093" s="407"/>
      <c r="X1093" s="407"/>
      <c r="Y1093" s="407"/>
      <c r="Z1093" s="407"/>
      <c r="AA1093" s="407">
        <f t="shared" si="141"/>
        <v>90000</v>
      </c>
      <c r="AC1093" s="501"/>
      <c r="AD1093" s="512">
        <v>90000</v>
      </c>
      <c r="AE1093" s="512"/>
      <c r="AF1093" s="512"/>
      <c r="AG1093" s="507"/>
      <c r="AH1093" s="507"/>
    </row>
    <row r="1094" spans="1:34" s="362" customFormat="1" ht="51">
      <c r="A1094" s="608"/>
      <c r="B1094" s="607"/>
      <c r="C1094" s="325"/>
      <c r="D1094" s="14" t="s">
        <v>1797</v>
      </c>
      <c r="E1094" s="292"/>
      <c r="F1094" s="143"/>
      <c r="G1094" s="292"/>
      <c r="H1094" s="427">
        <v>3132</v>
      </c>
      <c r="I1094" s="307">
        <v>225000</v>
      </c>
      <c r="J1094" s="307"/>
      <c r="K1094" s="307"/>
      <c r="L1094" s="76"/>
      <c r="M1094" s="76">
        <v>225000</v>
      </c>
      <c r="N1094" s="407"/>
      <c r="O1094" s="407"/>
      <c r="P1094" s="407"/>
      <c r="Q1094" s="407"/>
      <c r="R1094" s="407">
        <v>15000</v>
      </c>
      <c r="S1094" s="407">
        <v>210000</v>
      </c>
      <c r="T1094" s="407"/>
      <c r="U1094" s="407"/>
      <c r="V1094" s="407"/>
      <c r="W1094" s="407"/>
      <c r="X1094" s="407"/>
      <c r="Y1094" s="407"/>
      <c r="Z1094" s="407">
        <f>1681.8+2242.4+1411.2+1681.8+105000</f>
        <v>112017.2</v>
      </c>
      <c r="AA1094" s="407">
        <f t="shared" si="141"/>
        <v>112982.8</v>
      </c>
      <c r="AC1094" s="501"/>
      <c r="AD1094" s="512">
        <v>225000</v>
      </c>
      <c r="AE1094" s="512">
        <v>1050150</v>
      </c>
      <c r="AF1094" s="512" t="s">
        <v>937</v>
      </c>
      <c r="AG1094" s="507" t="s">
        <v>732</v>
      </c>
      <c r="AH1094" s="507" t="s">
        <v>1629</v>
      </c>
    </row>
    <row r="1095" spans="1:34" s="362" customFormat="1" ht="33.75" customHeight="1">
      <c r="A1095" s="608"/>
      <c r="B1095" s="607"/>
      <c r="C1095" s="325"/>
      <c r="D1095" s="14" t="s">
        <v>1798</v>
      </c>
      <c r="E1095" s="292"/>
      <c r="F1095" s="143"/>
      <c r="G1095" s="292"/>
      <c r="H1095" s="427">
        <v>3132</v>
      </c>
      <c r="I1095" s="307">
        <f>75000-70000</f>
        <v>5000</v>
      </c>
      <c r="J1095" s="307"/>
      <c r="K1095" s="307"/>
      <c r="L1095" s="76"/>
      <c r="M1095" s="76">
        <v>75000</v>
      </c>
      <c r="N1095" s="407"/>
      <c r="O1095" s="407"/>
      <c r="P1095" s="407"/>
      <c r="Q1095" s="407"/>
      <c r="R1095" s="407"/>
      <c r="S1095" s="407">
        <v>15000</v>
      </c>
      <c r="T1095" s="407"/>
      <c r="U1095" s="407">
        <f>60000</f>
        <v>60000</v>
      </c>
      <c r="V1095" s="407"/>
      <c r="W1095" s="407">
        <v>-70000</v>
      </c>
      <c r="X1095" s="407"/>
      <c r="Y1095" s="407"/>
      <c r="Z1095" s="407"/>
      <c r="AA1095" s="407">
        <f t="shared" si="141"/>
        <v>5000</v>
      </c>
      <c r="AC1095" s="501"/>
      <c r="AD1095" s="512">
        <v>75000</v>
      </c>
      <c r="AE1095" s="512"/>
      <c r="AF1095" s="512"/>
      <c r="AG1095" s="507"/>
      <c r="AH1095" s="507"/>
    </row>
    <row r="1096" spans="1:34" s="362" customFormat="1" ht="51">
      <c r="A1096" s="608"/>
      <c r="B1096" s="607"/>
      <c r="C1096" s="325"/>
      <c r="D1096" s="14" t="s">
        <v>1799</v>
      </c>
      <c r="E1096" s="292"/>
      <c r="F1096" s="143"/>
      <c r="G1096" s="292"/>
      <c r="H1096" s="427">
        <v>3132</v>
      </c>
      <c r="I1096" s="307">
        <v>100000</v>
      </c>
      <c r="J1096" s="307"/>
      <c r="K1096" s="307"/>
      <c r="L1096" s="76"/>
      <c r="M1096" s="76">
        <v>100000</v>
      </c>
      <c r="N1096" s="407"/>
      <c r="O1096" s="407"/>
      <c r="P1096" s="407"/>
      <c r="Q1096" s="407"/>
      <c r="R1096" s="407">
        <v>8000</v>
      </c>
      <c r="S1096" s="407">
        <f>15000-8000</f>
        <v>7000</v>
      </c>
      <c r="T1096" s="407"/>
      <c r="U1096" s="407">
        <v>85000</v>
      </c>
      <c r="V1096" s="407"/>
      <c r="W1096" s="407"/>
      <c r="X1096" s="407"/>
      <c r="Y1096" s="407"/>
      <c r="Z1096" s="407">
        <f>3924.2+1368+1681.8</f>
        <v>6974</v>
      </c>
      <c r="AA1096" s="407">
        <f t="shared" si="141"/>
        <v>93026</v>
      </c>
      <c r="AC1096" s="501"/>
      <c r="AD1096" s="512">
        <v>100000</v>
      </c>
      <c r="AE1096" s="512" t="s">
        <v>1542</v>
      </c>
      <c r="AF1096" s="512" t="s">
        <v>938</v>
      </c>
      <c r="AG1096" s="507" t="s">
        <v>1626</v>
      </c>
      <c r="AH1096" s="507" t="s">
        <v>1542</v>
      </c>
    </row>
    <row r="1097" spans="1:34" s="362" customFormat="1" ht="31.5" hidden="1">
      <c r="A1097" s="608"/>
      <c r="B1097" s="607"/>
      <c r="C1097" s="325"/>
      <c r="D1097" s="14" t="s">
        <v>1993</v>
      </c>
      <c r="E1097" s="292"/>
      <c r="F1097" s="143"/>
      <c r="G1097" s="292"/>
      <c r="H1097" s="427">
        <v>3132</v>
      </c>
      <c r="I1097" s="307">
        <f>30000-30000</f>
        <v>0</v>
      </c>
      <c r="J1097" s="307"/>
      <c r="K1097" s="307"/>
      <c r="L1097" s="76"/>
      <c r="M1097" s="76">
        <v>30000</v>
      </c>
      <c r="N1097" s="407"/>
      <c r="O1097" s="407"/>
      <c r="P1097" s="407"/>
      <c r="Q1097" s="407"/>
      <c r="R1097" s="407"/>
      <c r="S1097" s="407">
        <v>15000</v>
      </c>
      <c r="T1097" s="407"/>
      <c r="U1097" s="407">
        <v>15000</v>
      </c>
      <c r="V1097" s="407"/>
      <c r="W1097" s="407">
        <v>-30000</v>
      </c>
      <c r="X1097" s="407"/>
      <c r="Y1097" s="407"/>
      <c r="Z1097" s="407"/>
      <c r="AA1097" s="407">
        <f t="shared" si="141"/>
        <v>0</v>
      </c>
      <c r="AC1097" s="501"/>
      <c r="AD1097" s="512">
        <v>30000</v>
      </c>
      <c r="AE1097" s="512"/>
      <c r="AF1097" s="512"/>
      <c r="AG1097" s="507"/>
      <c r="AH1097" s="507"/>
    </row>
    <row r="1098" spans="1:34" s="362" customFormat="1" ht="51">
      <c r="A1098" s="608"/>
      <c r="B1098" s="607"/>
      <c r="C1098" s="325"/>
      <c r="D1098" s="375" t="s">
        <v>1994</v>
      </c>
      <c r="E1098" s="292"/>
      <c r="F1098" s="143"/>
      <c r="G1098" s="292"/>
      <c r="H1098" s="427">
        <v>3142</v>
      </c>
      <c r="I1098" s="307">
        <v>129920</v>
      </c>
      <c r="J1098" s="307"/>
      <c r="K1098" s="307"/>
      <c r="L1098" s="76"/>
      <c r="M1098" s="76">
        <v>129920</v>
      </c>
      <c r="N1098" s="407"/>
      <c r="O1098" s="407"/>
      <c r="P1098" s="407"/>
      <c r="Q1098" s="407"/>
      <c r="R1098" s="407"/>
      <c r="S1098" s="407">
        <v>39000</v>
      </c>
      <c r="T1098" s="407">
        <v>90920</v>
      </c>
      <c r="U1098" s="407"/>
      <c r="V1098" s="407"/>
      <c r="W1098" s="407"/>
      <c r="X1098" s="407"/>
      <c r="Y1098" s="407"/>
      <c r="Z1098" s="407">
        <v>27652.8</v>
      </c>
      <c r="AA1098" s="407">
        <f t="shared" si="141"/>
        <v>102267.2</v>
      </c>
      <c r="AC1098" s="501"/>
      <c r="AD1098" s="512">
        <v>129920</v>
      </c>
      <c r="AE1098" s="512">
        <v>118936</v>
      </c>
      <c r="AF1098" s="512"/>
      <c r="AG1098" s="507" t="s">
        <v>732</v>
      </c>
      <c r="AH1098" s="507" t="s">
        <v>1629</v>
      </c>
    </row>
    <row r="1099" spans="1:34" ht="47.25" hidden="1">
      <c r="A1099" s="32">
        <v>250324</v>
      </c>
      <c r="B1099" s="32" t="s">
        <v>633</v>
      </c>
      <c r="C1099" s="306"/>
      <c r="D1099" s="14" t="s">
        <v>1521</v>
      </c>
      <c r="E1099" s="292"/>
      <c r="F1099" s="143"/>
      <c r="G1099" s="292"/>
      <c r="H1099" s="427"/>
      <c r="I1099" s="307" t="e">
        <f>J1099+#REF!+K1099+L1099+M1099+#REF!+#REF!</f>
        <v>#REF!</v>
      </c>
      <c r="J1099" s="307"/>
      <c r="K1099" s="307"/>
      <c r="L1099" s="307"/>
      <c r="M1099" s="307"/>
      <c r="N1099" s="407"/>
      <c r="O1099" s="407"/>
      <c r="P1099" s="407"/>
      <c r="Q1099" s="407"/>
      <c r="R1099" s="407"/>
      <c r="S1099" s="407"/>
      <c r="T1099" s="407"/>
      <c r="U1099" s="407"/>
      <c r="V1099" s="407"/>
      <c r="W1099" s="407"/>
      <c r="X1099" s="407"/>
      <c r="Y1099" s="407"/>
      <c r="Z1099" s="407"/>
      <c r="AA1099" s="407">
        <f t="shared" si="141"/>
        <v>0</v>
      </c>
      <c r="AC1099" s="499"/>
      <c r="AD1099" s="512"/>
      <c r="AE1099" s="512"/>
      <c r="AF1099" s="512"/>
      <c r="AG1099" s="507"/>
      <c r="AH1099" s="507"/>
    </row>
    <row r="1100" spans="1:34" ht="110.25" hidden="1">
      <c r="A1100" s="34">
        <v>250344</v>
      </c>
      <c r="B1100" s="34" t="s">
        <v>37</v>
      </c>
      <c r="C1100" s="306"/>
      <c r="D1100" s="14" t="s">
        <v>1571</v>
      </c>
      <c r="E1100" s="292"/>
      <c r="F1100" s="143"/>
      <c r="G1100" s="292"/>
      <c r="H1100" s="427"/>
      <c r="I1100" s="307" t="e">
        <f>J1100+#REF!+K1100+L1100+M1100+#REF!+#REF!</f>
        <v>#REF!</v>
      </c>
      <c r="J1100" s="307"/>
      <c r="K1100" s="307"/>
      <c r="L1100" s="307"/>
      <c r="M1100" s="307"/>
      <c r="N1100" s="407"/>
      <c r="O1100" s="407"/>
      <c r="P1100" s="407"/>
      <c r="Q1100" s="407"/>
      <c r="R1100" s="407"/>
      <c r="S1100" s="407"/>
      <c r="T1100" s="407"/>
      <c r="U1100" s="407"/>
      <c r="V1100" s="407"/>
      <c r="W1100" s="407"/>
      <c r="X1100" s="407"/>
      <c r="Y1100" s="407"/>
      <c r="Z1100" s="407"/>
      <c r="AA1100" s="407">
        <f t="shared" si="141"/>
        <v>0</v>
      </c>
      <c r="AC1100" s="499"/>
      <c r="AD1100" s="512"/>
      <c r="AE1100" s="512"/>
      <c r="AF1100" s="512"/>
      <c r="AG1100" s="507"/>
      <c r="AH1100" s="507"/>
    </row>
    <row r="1101" spans="1:34" s="30" customFormat="1" ht="15.75">
      <c r="A1101" s="620">
        <v>250344</v>
      </c>
      <c r="B1101" s="620" t="s">
        <v>217</v>
      </c>
      <c r="C1101" s="289"/>
      <c r="D1101" s="71" t="s">
        <v>1456</v>
      </c>
      <c r="E1101" s="303"/>
      <c r="F1101" s="138"/>
      <c r="G1101" s="303"/>
      <c r="H1101" s="429"/>
      <c r="I1101" s="304">
        <f>I1102</f>
        <v>114000</v>
      </c>
      <c r="J1101" s="304">
        <f aca="true" t="shared" si="142" ref="J1101:Z1101">J1102</f>
        <v>0</v>
      </c>
      <c r="K1101" s="304">
        <f t="shared" si="142"/>
        <v>0</v>
      </c>
      <c r="L1101" s="304">
        <f t="shared" si="142"/>
        <v>0</v>
      </c>
      <c r="M1101" s="304">
        <f t="shared" si="142"/>
        <v>0</v>
      </c>
      <c r="N1101" s="304">
        <f t="shared" si="142"/>
        <v>0</v>
      </c>
      <c r="O1101" s="304">
        <f t="shared" si="142"/>
        <v>0</v>
      </c>
      <c r="P1101" s="304">
        <f t="shared" si="142"/>
        <v>0</v>
      </c>
      <c r="Q1101" s="304">
        <f t="shared" si="142"/>
        <v>0</v>
      </c>
      <c r="R1101" s="304">
        <f t="shared" si="142"/>
        <v>0</v>
      </c>
      <c r="S1101" s="304">
        <f t="shared" si="142"/>
        <v>0</v>
      </c>
      <c r="T1101" s="304">
        <f t="shared" si="142"/>
        <v>0</v>
      </c>
      <c r="U1101" s="304">
        <f t="shared" si="142"/>
        <v>0</v>
      </c>
      <c r="V1101" s="304">
        <f t="shared" si="142"/>
        <v>0</v>
      </c>
      <c r="W1101" s="304">
        <f t="shared" si="142"/>
        <v>0</v>
      </c>
      <c r="X1101" s="304">
        <f t="shared" si="142"/>
        <v>114000</v>
      </c>
      <c r="Y1101" s="304">
        <f t="shared" si="142"/>
        <v>0</v>
      </c>
      <c r="Z1101" s="304">
        <f t="shared" si="142"/>
        <v>0</v>
      </c>
      <c r="AA1101" s="407">
        <f t="shared" si="141"/>
        <v>114000</v>
      </c>
      <c r="AC1101" s="59"/>
      <c r="AD1101" s="514"/>
      <c r="AE1101" s="514"/>
      <c r="AF1101" s="514"/>
      <c r="AG1101" s="509"/>
      <c r="AH1101" s="509"/>
    </row>
    <row r="1102" spans="1:34" ht="102.75" customHeight="1">
      <c r="A1102" s="625"/>
      <c r="B1102" s="625"/>
      <c r="C1102" s="306"/>
      <c r="D1102" s="14" t="s">
        <v>222</v>
      </c>
      <c r="E1102" s="292"/>
      <c r="F1102" s="143"/>
      <c r="G1102" s="292"/>
      <c r="H1102" s="427">
        <v>3220</v>
      </c>
      <c r="I1102" s="307">
        <v>114000</v>
      </c>
      <c r="J1102" s="307"/>
      <c r="K1102" s="307"/>
      <c r="L1102" s="307"/>
      <c r="M1102" s="307"/>
      <c r="N1102" s="407"/>
      <c r="O1102" s="407"/>
      <c r="P1102" s="407"/>
      <c r="Q1102" s="407"/>
      <c r="R1102" s="407"/>
      <c r="S1102" s="407"/>
      <c r="T1102" s="407"/>
      <c r="U1102" s="407"/>
      <c r="V1102" s="407"/>
      <c r="W1102" s="407"/>
      <c r="X1102" s="407">
        <v>114000</v>
      </c>
      <c r="Y1102" s="407"/>
      <c r="Z1102" s="407"/>
      <c r="AA1102" s="407">
        <f t="shared" si="141"/>
        <v>114000</v>
      </c>
      <c r="AC1102" s="499"/>
      <c r="AD1102" s="512"/>
      <c r="AE1102" s="512"/>
      <c r="AF1102" s="512"/>
      <c r="AG1102" s="507"/>
      <c r="AH1102" s="507"/>
    </row>
    <row r="1103" spans="1:62" s="54" customFormat="1" ht="15.75">
      <c r="A1103" s="603">
        <v>250404</v>
      </c>
      <c r="B1103" s="603" t="s">
        <v>1256</v>
      </c>
      <c r="C1103" s="195"/>
      <c r="D1103" s="216" t="s">
        <v>1456</v>
      </c>
      <c r="E1103" s="158"/>
      <c r="F1103" s="159"/>
      <c r="G1103" s="158"/>
      <c r="H1103" s="419"/>
      <c r="I1103" s="139">
        <f>I1104+I1117+I1127+I1131+I1133</f>
        <v>6321088.53</v>
      </c>
      <c r="J1103" s="139">
        <f aca="true" t="shared" si="143" ref="J1103:AA1103">J1104+J1117+J1127+J1131+J1133</f>
        <v>0</v>
      </c>
      <c r="K1103" s="139">
        <f t="shared" si="143"/>
        <v>0</v>
      </c>
      <c r="L1103" s="139">
        <f t="shared" si="143"/>
        <v>3264178.53</v>
      </c>
      <c r="M1103" s="139">
        <f t="shared" si="143"/>
        <v>2213910</v>
      </c>
      <c r="N1103" s="139">
        <f t="shared" si="143"/>
        <v>0</v>
      </c>
      <c r="O1103" s="139">
        <f t="shared" si="143"/>
        <v>704315.41</v>
      </c>
      <c r="P1103" s="139">
        <f t="shared" si="143"/>
        <v>0</v>
      </c>
      <c r="Q1103" s="139">
        <f t="shared" si="143"/>
        <v>779863.12</v>
      </c>
      <c r="R1103" s="139">
        <f t="shared" si="143"/>
        <v>286000</v>
      </c>
      <c r="S1103" s="139">
        <f t="shared" si="143"/>
        <v>597000</v>
      </c>
      <c r="T1103" s="139">
        <f t="shared" si="143"/>
        <v>630800</v>
      </c>
      <c r="U1103" s="139">
        <f t="shared" si="143"/>
        <v>975610</v>
      </c>
      <c r="V1103" s="139">
        <f t="shared" si="143"/>
        <v>1061350</v>
      </c>
      <c r="W1103" s="139">
        <f t="shared" si="143"/>
        <v>477150</v>
      </c>
      <c r="X1103" s="139">
        <f t="shared" si="143"/>
        <v>769000</v>
      </c>
      <c r="Y1103" s="139">
        <f t="shared" si="143"/>
        <v>40000</v>
      </c>
      <c r="Z1103" s="139">
        <f t="shared" si="143"/>
        <v>1559081.89</v>
      </c>
      <c r="AA1103" s="169">
        <f t="shared" si="143"/>
        <v>4722006.64</v>
      </c>
      <c r="AB1103" s="45"/>
      <c r="AC1103" s="499"/>
      <c r="AD1103" s="512"/>
      <c r="AE1103" s="512"/>
      <c r="AF1103" s="512"/>
      <c r="AG1103" s="507"/>
      <c r="AH1103" s="507"/>
      <c r="AI1103" s="45"/>
      <c r="AJ1103" s="45"/>
      <c r="AK1103" s="45"/>
      <c r="AL1103" s="45"/>
      <c r="AM1103" s="45"/>
      <c r="AN1103" s="45"/>
      <c r="AO1103" s="45"/>
      <c r="AP1103" s="45"/>
      <c r="AQ1103" s="45"/>
      <c r="AR1103" s="45"/>
      <c r="AS1103" s="45"/>
      <c r="AT1103" s="45"/>
      <c r="AU1103" s="45"/>
      <c r="AV1103" s="45"/>
      <c r="AW1103" s="45"/>
      <c r="AX1103" s="45"/>
      <c r="AY1103" s="45"/>
      <c r="AZ1103" s="45"/>
      <c r="BA1103" s="45"/>
      <c r="BB1103" s="45"/>
      <c r="BC1103" s="45"/>
      <c r="BD1103" s="45"/>
      <c r="BE1103" s="45"/>
      <c r="BF1103" s="45"/>
      <c r="BG1103" s="45"/>
      <c r="BH1103" s="45"/>
      <c r="BI1103" s="45"/>
      <c r="BJ1103" s="45"/>
    </row>
    <row r="1104" spans="1:62" s="54" customFormat="1" ht="31.5">
      <c r="A1104" s="608"/>
      <c r="B1104" s="608"/>
      <c r="C1104" s="326"/>
      <c r="D1104" s="327" t="s">
        <v>702</v>
      </c>
      <c r="E1104" s="328"/>
      <c r="F1104" s="329"/>
      <c r="G1104" s="328"/>
      <c r="H1104" s="430"/>
      <c r="I1104" s="322">
        <f>SUM(I1106:I1116)+I1105</f>
        <v>3402301.16</v>
      </c>
      <c r="J1104" s="322">
        <f aca="true" t="shared" si="144" ref="J1104:Z1104">SUM(J1106:J1116)+J1105</f>
        <v>0</v>
      </c>
      <c r="K1104" s="322">
        <f t="shared" si="144"/>
        <v>0</v>
      </c>
      <c r="L1104" s="322">
        <f t="shared" si="144"/>
        <v>365391.16</v>
      </c>
      <c r="M1104" s="322">
        <f t="shared" si="144"/>
        <v>2193910</v>
      </c>
      <c r="N1104" s="322">
        <f t="shared" si="144"/>
        <v>0</v>
      </c>
      <c r="O1104" s="322">
        <f t="shared" si="144"/>
        <v>365391.16</v>
      </c>
      <c r="P1104" s="322">
        <f t="shared" si="144"/>
        <v>0</v>
      </c>
      <c r="Q1104" s="322">
        <f t="shared" si="144"/>
        <v>0</v>
      </c>
      <c r="R1104" s="322">
        <f t="shared" si="144"/>
        <v>186000</v>
      </c>
      <c r="S1104" s="322">
        <f t="shared" si="144"/>
        <v>557000</v>
      </c>
      <c r="T1104" s="322">
        <f t="shared" si="144"/>
        <v>590800</v>
      </c>
      <c r="U1104" s="322">
        <f t="shared" si="144"/>
        <v>235610</v>
      </c>
      <c r="V1104" s="322">
        <f t="shared" si="144"/>
        <v>187350</v>
      </c>
      <c r="W1104" s="322">
        <f t="shared" si="144"/>
        <v>437150</v>
      </c>
      <c r="X1104" s="322">
        <f t="shared" si="144"/>
        <v>843000</v>
      </c>
      <c r="Y1104" s="322">
        <f t="shared" si="144"/>
        <v>0</v>
      </c>
      <c r="Z1104" s="322">
        <f t="shared" si="144"/>
        <v>1104654.62</v>
      </c>
      <c r="AA1104" s="407">
        <f t="shared" si="141"/>
        <v>2297646.54</v>
      </c>
      <c r="AB1104" s="45"/>
      <c r="AC1104" s="499"/>
      <c r="AD1104" s="512"/>
      <c r="AE1104" s="512"/>
      <c r="AF1104" s="512"/>
      <c r="AG1104" s="507"/>
      <c r="AH1104" s="507"/>
      <c r="AI1104" s="45"/>
      <c r="AJ1104" s="45"/>
      <c r="AK1104" s="45"/>
      <c r="AL1104" s="45"/>
      <c r="AM1104" s="45"/>
      <c r="AN1104" s="45"/>
      <c r="AO1104" s="45"/>
      <c r="AP1104" s="45"/>
      <c r="AQ1104" s="45"/>
      <c r="AR1104" s="45"/>
      <c r="AS1104" s="45"/>
      <c r="AT1104" s="45"/>
      <c r="AU1104" s="45"/>
      <c r="AV1104" s="45"/>
      <c r="AW1104" s="45"/>
      <c r="AX1104" s="45"/>
      <c r="AY1104" s="45"/>
      <c r="AZ1104" s="45"/>
      <c r="BA1104" s="45"/>
      <c r="BB1104" s="45"/>
      <c r="BC1104" s="45"/>
      <c r="BD1104" s="45"/>
      <c r="BE1104" s="45"/>
      <c r="BF1104" s="45"/>
      <c r="BG1104" s="45"/>
      <c r="BH1104" s="45"/>
      <c r="BI1104" s="45"/>
      <c r="BJ1104" s="45"/>
    </row>
    <row r="1105" spans="1:62" s="54" customFormat="1" ht="47.25">
      <c r="A1105" s="608"/>
      <c r="B1105" s="608"/>
      <c r="C1105" s="326"/>
      <c r="D1105" s="544" t="s">
        <v>825</v>
      </c>
      <c r="E1105" s="328"/>
      <c r="F1105" s="329"/>
      <c r="G1105" s="328"/>
      <c r="H1105" s="430">
        <v>3132</v>
      </c>
      <c r="I1105" s="307">
        <v>560000</v>
      </c>
      <c r="J1105" s="322"/>
      <c r="K1105" s="322"/>
      <c r="L1105" s="322"/>
      <c r="M1105" s="322"/>
      <c r="N1105" s="322"/>
      <c r="O1105" s="322"/>
      <c r="P1105" s="322"/>
      <c r="Q1105" s="322"/>
      <c r="R1105" s="322"/>
      <c r="S1105" s="322"/>
      <c r="T1105" s="322"/>
      <c r="U1105" s="322"/>
      <c r="V1105" s="322"/>
      <c r="W1105" s="322"/>
      <c r="X1105" s="307">
        <v>560000</v>
      </c>
      <c r="Y1105" s="322"/>
      <c r="Z1105" s="307">
        <f>600+256841.4</f>
        <v>257441.4</v>
      </c>
      <c r="AA1105" s="407">
        <f t="shared" si="141"/>
        <v>302558.6</v>
      </c>
      <c r="AB1105" s="45"/>
      <c r="AC1105" s="499"/>
      <c r="AD1105" s="512"/>
      <c r="AE1105" s="512"/>
      <c r="AF1105" s="512"/>
      <c r="AG1105" s="507"/>
      <c r="AH1105" s="507"/>
      <c r="AI1105" s="45"/>
      <c r="AJ1105" s="45"/>
      <c r="AK1105" s="45"/>
      <c r="AL1105" s="45"/>
      <c r="AM1105" s="45"/>
      <c r="AN1105" s="45"/>
      <c r="AO1105" s="45"/>
      <c r="AP1105" s="45"/>
      <c r="AQ1105" s="45"/>
      <c r="AR1105" s="45"/>
      <c r="AS1105" s="45"/>
      <c r="AT1105" s="45"/>
      <c r="AU1105" s="45"/>
      <c r="AV1105" s="45"/>
      <c r="AW1105" s="45"/>
      <c r="AX1105" s="45"/>
      <c r="AY1105" s="45"/>
      <c r="AZ1105" s="45"/>
      <c r="BA1105" s="45"/>
      <c r="BB1105" s="45"/>
      <c r="BC1105" s="45"/>
      <c r="BD1105" s="45"/>
      <c r="BE1105" s="45"/>
      <c r="BF1105" s="45"/>
      <c r="BG1105" s="45"/>
      <c r="BH1105" s="45"/>
      <c r="BI1105" s="45"/>
      <c r="BJ1105" s="45"/>
    </row>
    <row r="1106" spans="1:34" ht="47.25">
      <c r="A1106" s="608"/>
      <c r="B1106" s="608"/>
      <c r="C1106" s="218" t="s">
        <v>703</v>
      </c>
      <c r="D1106" s="240" t="s">
        <v>704</v>
      </c>
      <c r="E1106" s="142">
        <v>400</v>
      </c>
      <c r="F1106" s="143">
        <f aca="true" t="shared" si="145" ref="F1106:F1111">100%-((E1106-G1106)/E1106)</f>
        <v>1</v>
      </c>
      <c r="G1106" s="142">
        <v>400</v>
      </c>
      <c r="H1106" s="417">
        <v>3132</v>
      </c>
      <c r="I1106" s="307">
        <v>1320</v>
      </c>
      <c r="J1106" s="144"/>
      <c r="K1106" s="144"/>
      <c r="L1106" s="144">
        <v>1320</v>
      </c>
      <c r="M1106" s="144"/>
      <c r="N1106" s="407"/>
      <c r="O1106" s="307">
        <v>1320</v>
      </c>
      <c r="P1106" s="407"/>
      <c r="Q1106" s="407"/>
      <c r="R1106" s="407"/>
      <c r="S1106" s="407"/>
      <c r="T1106" s="407"/>
      <c r="U1106" s="407"/>
      <c r="V1106" s="407"/>
      <c r="W1106" s="407"/>
      <c r="X1106" s="407"/>
      <c r="Y1106" s="407"/>
      <c r="Z1106" s="307">
        <v>1320</v>
      </c>
      <c r="AA1106" s="407">
        <f t="shared" si="141"/>
        <v>0</v>
      </c>
      <c r="AC1106" s="499"/>
      <c r="AD1106" s="512">
        <v>1320</v>
      </c>
      <c r="AE1106" s="512"/>
      <c r="AF1106" s="512" t="s">
        <v>939</v>
      </c>
      <c r="AG1106" s="507"/>
      <c r="AH1106" s="507"/>
    </row>
    <row r="1107" spans="1:34" ht="31.5">
      <c r="A1107" s="608"/>
      <c r="B1107" s="608"/>
      <c r="C1107" s="218" t="s">
        <v>705</v>
      </c>
      <c r="D1107" s="354" t="s">
        <v>1096</v>
      </c>
      <c r="E1107" s="142">
        <v>368.5</v>
      </c>
      <c r="F1107" s="143">
        <f t="shared" si="145"/>
        <v>1</v>
      </c>
      <c r="G1107" s="142">
        <v>368.5</v>
      </c>
      <c r="H1107" s="417">
        <v>3132</v>
      </c>
      <c r="I1107" s="307">
        <v>2501.12</v>
      </c>
      <c r="J1107" s="144"/>
      <c r="K1107" s="144"/>
      <c r="L1107" s="144">
        <v>2501.12</v>
      </c>
      <c r="M1107" s="144"/>
      <c r="N1107" s="407"/>
      <c r="O1107" s="307">
        <v>2501.12</v>
      </c>
      <c r="P1107" s="407"/>
      <c r="Q1107" s="407"/>
      <c r="R1107" s="407"/>
      <c r="S1107" s="407"/>
      <c r="T1107" s="407"/>
      <c r="U1107" s="407"/>
      <c r="V1107" s="407"/>
      <c r="W1107" s="407"/>
      <c r="X1107" s="407"/>
      <c r="Y1107" s="407"/>
      <c r="Z1107" s="307">
        <v>2501.12</v>
      </c>
      <c r="AA1107" s="407">
        <f t="shared" si="141"/>
        <v>0</v>
      </c>
      <c r="AC1107" s="499"/>
      <c r="AD1107" s="512">
        <v>2501.12</v>
      </c>
      <c r="AE1107" s="512"/>
      <c r="AF1107" s="512" t="s">
        <v>940</v>
      </c>
      <c r="AG1107" s="507"/>
      <c r="AH1107" s="507"/>
    </row>
    <row r="1108" spans="1:34" ht="31.5">
      <c r="A1108" s="608"/>
      <c r="B1108" s="608"/>
      <c r="C1108" s="218" t="s">
        <v>1097</v>
      </c>
      <c r="D1108" s="75" t="s">
        <v>1098</v>
      </c>
      <c r="E1108" s="142">
        <v>465.2</v>
      </c>
      <c r="F1108" s="143">
        <f t="shared" si="145"/>
        <v>1</v>
      </c>
      <c r="G1108" s="142">
        <v>465.2</v>
      </c>
      <c r="H1108" s="417">
        <v>3132</v>
      </c>
      <c r="I1108" s="307">
        <v>6482.72</v>
      </c>
      <c r="J1108" s="144"/>
      <c r="K1108" s="144"/>
      <c r="L1108" s="144">
        <v>6482.72</v>
      </c>
      <c r="M1108" s="144"/>
      <c r="N1108" s="407"/>
      <c r="O1108" s="307">
        <v>6482.72</v>
      </c>
      <c r="P1108" s="407"/>
      <c r="Q1108" s="407"/>
      <c r="R1108" s="407"/>
      <c r="S1108" s="407"/>
      <c r="T1108" s="407"/>
      <c r="U1108" s="407"/>
      <c r="V1108" s="407"/>
      <c r="W1108" s="407"/>
      <c r="X1108" s="407"/>
      <c r="Y1108" s="407"/>
      <c r="Z1108" s="307">
        <v>6482.72</v>
      </c>
      <c r="AA1108" s="407">
        <f t="shared" si="141"/>
        <v>0</v>
      </c>
      <c r="AC1108" s="499"/>
      <c r="AD1108" s="512">
        <v>6482.72</v>
      </c>
      <c r="AE1108" s="512"/>
      <c r="AF1108" s="512" t="s">
        <v>941</v>
      </c>
      <c r="AG1108" s="507"/>
      <c r="AH1108" s="507"/>
    </row>
    <row r="1109" spans="1:34" ht="38.25">
      <c r="A1109" s="608"/>
      <c r="B1109" s="608"/>
      <c r="C1109" s="218" t="s">
        <v>1099</v>
      </c>
      <c r="D1109" s="75" t="s">
        <v>1488</v>
      </c>
      <c r="E1109" s="142">
        <v>854</v>
      </c>
      <c r="F1109" s="143">
        <f t="shared" si="145"/>
        <v>1</v>
      </c>
      <c r="G1109" s="142">
        <v>854</v>
      </c>
      <c r="H1109" s="417">
        <v>3132</v>
      </c>
      <c r="I1109" s="307">
        <v>239724.84</v>
      </c>
      <c r="J1109" s="144"/>
      <c r="K1109" s="144"/>
      <c r="L1109" s="144">
        <v>239724.84</v>
      </c>
      <c r="M1109" s="144"/>
      <c r="N1109" s="407"/>
      <c r="O1109" s="307">
        <v>239724.84</v>
      </c>
      <c r="P1109" s="407"/>
      <c r="Q1109" s="407"/>
      <c r="R1109" s="407"/>
      <c r="S1109" s="407"/>
      <c r="T1109" s="407"/>
      <c r="U1109" s="407"/>
      <c r="V1109" s="407"/>
      <c r="W1109" s="407"/>
      <c r="X1109" s="407"/>
      <c r="Y1109" s="407"/>
      <c r="Z1109" s="307">
        <v>239724.84</v>
      </c>
      <c r="AA1109" s="407">
        <f t="shared" si="141"/>
        <v>0</v>
      </c>
      <c r="AC1109" s="499"/>
      <c r="AD1109" s="512">
        <v>239724.84</v>
      </c>
      <c r="AE1109" s="512"/>
      <c r="AF1109" s="512" t="s">
        <v>942</v>
      </c>
      <c r="AG1109" s="507"/>
      <c r="AH1109" s="507"/>
    </row>
    <row r="1110" spans="1:34" ht="114.75">
      <c r="A1110" s="608"/>
      <c r="B1110" s="608"/>
      <c r="C1110" s="218" t="s">
        <v>1489</v>
      </c>
      <c r="D1110" s="75" t="s">
        <v>657</v>
      </c>
      <c r="E1110" s="142">
        <v>900</v>
      </c>
      <c r="F1110" s="143">
        <f t="shared" si="145"/>
        <v>1</v>
      </c>
      <c r="G1110" s="142">
        <v>900</v>
      </c>
      <c r="H1110" s="417">
        <v>3132</v>
      </c>
      <c r="I1110" s="307">
        <v>54973.68</v>
      </c>
      <c r="J1110" s="144"/>
      <c r="K1110" s="144"/>
      <c r="L1110" s="144">
        <v>54973.68</v>
      </c>
      <c r="M1110" s="144"/>
      <c r="N1110" s="407"/>
      <c r="O1110" s="307">
        <v>54973.68</v>
      </c>
      <c r="P1110" s="407"/>
      <c r="Q1110" s="407"/>
      <c r="R1110" s="407"/>
      <c r="S1110" s="407"/>
      <c r="T1110" s="407"/>
      <c r="U1110" s="407"/>
      <c r="V1110" s="407"/>
      <c r="W1110" s="407"/>
      <c r="X1110" s="407"/>
      <c r="Y1110" s="407"/>
      <c r="Z1110" s="307">
        <f>54973.68-75.96</f>
        <v>54897.72</v>
      </c>
      <c r="AA1110" s="407">
        <f t="shared" si="141"/>
        <v>75.96</v>
      </c>
      <c r="AC1110" s="499"/>
      <c r="AD1110" s="512">
        <v>54973.68</v>
      </c>
      <c r="AE1110" s="512"/>
      <c r="AF1110" s="512" t="s">
        <v>943</v>
      </c>
      <c r="AG1110" s="507"/>
      <c r="AH1110" s="507"/>
    </row>
    <row r="1111" spans="1:34" ht="47.25">
      <c r="A1111" s="608"/>
      <c r="B1111" s="608"/>
      <c r="C1111" s="218" t="s">
        <v>658</v>
      </c>
      <c r="D1111" s="75" t="s">
        <v>659</v>
      </c>
      <c r="E1111" s="142">
        <v>70</v>
      </c>
      <c r="F1111" s="143">
        <f t="shared" si="145"/>
        <v>1</v>
      </c>
      <c r="G1111" s="142">
        <v>70</v>
      </c>
      <c r="H1111" s="417">
        <v>3132</v>
      </c>
      <c r="I1111" s="307">
        <v>60388.8</v>
      </c>
      <c r="J1111" s="144"/>
      <c r="K1111" s="144"/>
      <c r="L1111" s="144">
        <v>60388.8</v>
      </c>
      <c r="M1111" s="144"/>
      <c r="N1111" s="407"/>
      <c r="O1111" s="307">
        <v>60388.8</v>
      </c>
      <c r="P1111" s="407"/>
      <c r="Q1111" s="407"/>
      <c r="R1111" s="407"/>
      <c r="S1111" s="407"/>
      <c r="T1111" s="407"/>
      <c r="U1111" s="407"/>
      <c r="V1111" s="407"/>
      <c r="W1111" s="407"/>
      <c r="X1111" s="407"/>
      <c r="Y1111" s="407"/>
      <c r="Z1111" s="307">
        <v>60388.8</v>
      </c>
      <c r="AA1111" s="407">
        <f t="shared" si="141"/>
        <v>0</v>
      </c>
      <c r="AC1111" s="499"/>
      <c r="AD1111" s="512">
        <v>60388.8</v>
      </c>
      <c r="AE1111" s="512"/>
      <c r="AF1111" s="512" t="s">
        <v>944</v>
      </c>
      <c r="AG1111" s="507"/>
      <c r="AH1111" s="507"/>
    </row>
    <row r="1112" spans="1:34" s="362" customFormat="1" ht="51">
      <c r="A1112" s="608"/>
      <c r="B1112" s="608"/>
      <c r="C1112" s="218"/>
      <c r="D1112" s="1" t="s">
        <v>1995</v>
      </c>
      <c r="E1112" s="142"/>
      <c r="F1112" s="143"/>
      <c r="G1112" s="142"/>
      <c r="H1112" s="417">
        <v>3132</v>
      </c>
      <c r="I1112" s="307">
        <f>703610+100000</f>
        <v>803610</v>
      </c>
      <c r="J1112" s="144"/>
      <c r="K1112" s="144"/>
      <c r="L1112" s="76"/>
      <c r="M1112" s="76">
        <v>703610</v>
      </c>
      <c r="N1112" s="407"/>
      <c r="O1112" s="407"/>
      <c r="P1112" s="407"/>
      <c r="Q1112" s="407"/>
      <c r="R1112" s="407"/>
      <c r="S1112" s="407">
        <v>234000</v>
      </c>
      <c r="T1112" s="407">
        <v>234000</v>
      </c>
      <c r="U1112" s="407">
        <v>235610</v>
      </c>
      <c r="V1112" s="407"/>
      <c r="W1112" s="407"/>
      <c r="X1112" s="407">
        <v>100000</v>
      </c>
      <c r="Y1112" s="407"/>
      <c r="Z1112" s="407">
        <v>56905.2</v>
      </c>
      <c r="AA1112" s="407">
        <f t="shared" si="141"/>
        <v>746704.8</v>
      </c>
      <c r="AC1112" s="501"/>
      <c r="AD1112" s="512">
        <v>703610</v>
      </c>
      <c r="AE1112" s="512"/>
      <c r="AF1112" s="512" t="s">
        <v>157</v>
      </c>
      <c r="AG1112" s="507"/>
      <c r="AH1112" s="507"/>
    </row>
    <row r="1113" spans="1:34" s="362" customFormat="1" ht="30.75" customHeight="1">
      <c r="A1113" s="608"/>
      <c r="B1113" s="608"/>
      <c r="C1113" s="218"/>
      <c r="D1113" s="1" t="s">
        <v>734</v>
      </c>
      <c r="E1113" s="142"/>
      <c r="F1113" s="143"/>
      <c r="G1113" s="142"/>
      <c r="H1113" s="417">
        <v>3132</v>
      </c>
      <c r="I1113" s="307">
        <f>624500+112000</f>
        <v>736500</v>
      </c>
      <c r="J1113" s="144"/>
      <c r="K1113" s="144"/>
      <c r="L1113" s="76"/>
      <c r="M1113" s="76">
        <v>624500</v>
      </c>
      <c r="N1113" s="407"/>
      <c r="O1113" s="407"/>
      <c r="P1113" s="407"/>
      <c r="Q1113" s="407"/>
      <c r="R1113" s="407"/>
      <c r="S1113" s="407"/>
      <c r="T1113" s="407"/>
      <c r="U1113" s="407"/>
      <c r="V1113" s="407">
        <v>187350</v>
      </c>
      <c r="W1113" s="407">
        <v>437150</v>
      </c>
      <c r="X1113" s="407">
        <v>112000</v>
      </c>
      <c r="Y1113" s="407"/>
      <c r="Z1113" s="407"/>
      <c r="AA1113" s="407">
        <f t="shared" si="141"/>
        <v>736500</v>
      </c>
      <c r="AC1113" s="501"/>
      <c r="AD1113" s="512">
        <v>624500</v>
      </c>
      <c r="AE1113" s="512">
        <v>735277</v>
      </c>
      <c r="AF1113" s="512"/>
      <c r="AG1113" s="507" t="s">
        <v>732</v>
      </c>
      <c r="AH1113" s="507" t="s">
        <v>1629</v>
      </c>
    </row>
    <row r="1114" spans="1:34" s="362" customFormat="1" ht="217.5" customHeight="1">
      <c r="A1114" s="608"/>
      <c r="B1114" s="608"/>
      <c r="C1114" s="218"/>
      <c r="D1114" s="1" t="s">
        <v>1996</v>
      </c>
      <c r="E1114" s="142"/>
      <c r="F1114" s="143"/>
      <c r="G1114" s="142"/>
      <c r="H1114" s="417">
        <v>3132</v>
      </c>
      <c r="I1114" s="307">
        <f>524800+71000</f>
        <v>595800</v>
      </c>
      <c r="J1114" s="144"/>
      <c r="K1114" s="144"/>
      <c r="L1114" s="76"/>
      <c r="M1114" s="76">
        <v>524800</v>
      </c>
      <c r="N1114" s="407"/>
      <c r="O1114" s="407"/>
      <c r="P1114" s="407"/>
      <c r="Q1114" s="407"/>
      <c r="R1114" s="407">
        <v>15000</v>
      </c>
      <c r="S1114" s="407">
        <v>153000</v>
      </c>
      <c r="T1114" s="407">
        <v>356800</v>
      </c>
      <c r="U1114" s="407"/>
      <c r="V1114" s="407"/>
      <c r="W1114" s="407"/>
      <c r="X1114" s="407">
        <v>71000</v>
      </c>
      <c r="Y1114" s="407"/>
      <c r="Z1114" s="407">
        <v>185355.22</v>
      </c>
      <c r="AA1114" s="407">
        <f t="shared" si="141"/>
        <v>410444.78</v>
      </c>
      <c r="AC1114" s="501"/>
      <c r="AD1114" s="512">
        <v>524800</v>
      </c>
      <c r="AE1114" s="512">
        <v>1057761</v>
      </c>
      <c r="AF1114" s="512" t="s">
        <v>158</v>
      </c>
      <c r="AG1114" s="507" t="s">
        <v>732</v>
      </c>
      <c r="AH1114" s="507" t="s">
        <v>1629</v>
      </c>
    </row>
    <row r="1115" spans="1:34" s="362" customFormat="1" ht="114.75">
      <c r="A1115" s="608"/>
      <c r="B1115" s="608"/>
      <c r="C1115" s="218"/>
      <c r="D1115" s="1" t="s">
        <v>1596</v>
      </c>
      <c r="E1115" s="142"/>
      <c r="F1115" s="143"/>
      <c r="G1115" s="142"/>
      <c r="H1115" s="417">
        <v>3132</v>
      </c>
      <c r="I1115" s="307">
        <v>340000</v>
      </c>
      <c r="J1115" s="144"/>
      <c r="K1115" s="144"/>
      <c r="L1115" s="76"/>
      <c r="M1115" s="76">
        <v>340000</v>
      </c>
      <c r="N1115" s="407"/>
      <c r="O1115" s="407"/>
      <c r="P1115" s="407"/>
      <c r="Q1115" s="407"/>
      <c r="R1115" s="407">
        <v>170000</v>
      </c>
      <c r="S1115" s="407">
        <v>170000</v>
      </c>
      <c r="T1115" s="407"/>
      <c r="U1115" s="407"/>
      <c r="V1115" s="407"/>
      <c r="W1115" s="407"/>
      <c r="X1115" s="407"/>
      <c r="Y1115" s="407"/>
      <c r="Z1115" s="407">
        <f>105133.2+133724.4</f>
        <v>238857.6</v>
      </c>
      <c r="AA1115" s="407">
        <f t="shared" si="141"/>
        <v>101142.4</v>
      </c>
      <c r="AC1115" s="501"/>
      <c r="AD1115" s="512">
        <v>340000</v>
      </c>
      <c r="AE1115" s="512">
        <v>704692</v>
      </c>
      <c r="AF1115" s="512" t="s">
        <v>159</v>
      </c>
      <c r="AG1115" s="507" t="s">
        <v>732</v>
      </c>
      <c r="AH1115" s="507" t="s">
        <v>1629</v>
      </c>
    </row>
    <row r="1116" spans="1:34" s="362" customFormat="1" ht="51">
      <c r="A1116" s="608"/>
      <c r="B1116" s="608"/>
      <c r="C1116" s="218"/>
      <c r="D1116" s="1" t="s">
        <v>1166</v>
      </c>
      <c r="E1116" s="142"/>
      <c r="F1116" s="143"/>
      <c r="G1116" s="142"/>
      <c r="H1116" s="417">
        <v>3132</v>
      </c>
      <c r="I1116" s="307">
        <v>1000</v>
      </c>
      <c r="J1116" s="144"/>
      <c r="K1116" s="144"/>
      <c r="L1116" s="76"/>
      <c r="M1116" s="76">
        <v>1000</v>
      </c>
      <c r="N1116" s="407"/>
      <c r="O1116" s="407"/>
      <c r="P1116" s="407"/>
      <c r="Q1116" s="407"/>
      <c r="R1116" s="407">
        <v>1000</v>
      </c>
      <c r="S1116" s="407"/>
      <c r="T1116" s="407"/>
      <c r="U1116" s="407"/>
      <c r="V1116" s="407"/>
      <c r="W1116" s="407"/>
      <c r="X1116" s="407"/>
      <c r="Y1116" s="407"/>
      <c r="Z1116" s="407">
        <v>780</v>
      </c>
      <c r="AA1116" s="407">
        <f t="shared" si="141"/>
        <v>220</v>
      </c>
      <c r="AC1116" s="501"/>
      <c r="AD1116" s="512">
        <v>1000</v>
      </c>
      <c r="AE1116" s="512">
        <v>71114</v>
      </c>
      <c r="AF1116" s="512" t="s">
        <v>160</v>
      </c>
      <c r="AG1116" s="507" t="s">
        <v>732</v>
      </c>
      <c r="AH1116" s="507" t="s">
        <v>1629</v>
      </c>
    </row>
    <row r="1117" spans="1:34" ht="31.5">
      <c r="A1117" s="608"/>
      <c r="B1117" s="608"/>
      <c r="C1117" s="218"/>
      <c r="D1117" s="225" t="s">
        <v>735</v>
      </c>
      <c r="E1117" s="142"/>
      <c r="F1117" s="143"/>
      <c r="G1117" s="142"/>
      <c r="H1117" s="417"/>
      <c r="I1117" s="169">
        <f>SUM(I1120:I1126)</f>
        <v>2514090</v>
      </c>
      <c r="J1117" s="169">
        <f aca="true" t="shared" si="146" ref="J1117:Z1117">SUM(J1118:J1126)</f>
        <v>0</v>
      </c>
      <c r="K1117" s="169">
        <f t="shared" si="146"/>
        <v>0</v>
      </c>
      <c r="L1117" s="169">
        <f t="shared" si="146"/>
        <v>2514090</v>
      </c>
      <c r="M1117" s="169">
        <f t="shared" si="146"/>
        <v>0</v>
      </c>
      <c r="N1117" s="169">
        <f t="shared" si="146"/>
        <v>0</v>
      </c>
      <c r="O1117" s="169">
        <f t="shared" si="146"/>
        <v>334226.88</v>
      </c>
      <c r="P1117" s="169">
        <f t="shared" si="146"/>
        <v>0</v>
      </c>
      <c r="Q1117" s="169">
        <f t="shared" si="146"/>
        <v>779863.12</v>
      </c>
      <c r="R1117" s="169">
        <f t="shared" si="146"/>
        <v>0</v>
      </c>
      <c r="S1117" s="169">
        <f t="shared" si="146"/>
        <v>0</v>
      </c>
      <c r="T1117" s="169">
        <f t="shared" si="146"/>
        <v>0</v>
      </c>
      <c r="U1117" s="169">
        <f>SUM(U1118:U1126)</f>
        <v>700000</v>
      </c>
      <c r="V1117" s="169">
        <f>SUM(V1118:V1126)</f>
        <v>700000</v>
      </c>
      <c r="W1117" s="169">
        <f t="shared" si="146"/>
        <v>0</v>
      </c>
      <c r="X1117" s="169">
        <f t="shared" si="146"/>
        <v>0</v>
      </c>
      <c r="Y1117" s="169">
        <f t="shared" si="146"/>
        <v>0</v>
      </c>
      <c r="Z1117" s="169">
        <f t="shared" si="146"/>
        <v>334226.88</v>
      </c>
      <c r="AA1117" s="407">
        <f t="shared" si="141"/>
        <v>2179863.12</v>
      </c>
      <c r="AC1117" s="499"/>
      <c r="AD1117" s="512"/>
      <c r="AE1117" s="512"/>
      <c r="AF1117" s="512"/>
      <c r="AG1117" s="507"/>
      <c r="AH1117" s="507"/>
    </row>
    <row r="1118" spans="1:34" ht="15.75" hidden="1">
      <c r="A1118" s="608"/>
      <c r="B1118" s="608"/>
      <c r="C1118" s="218" t="s">
        <v>736</v>
      </c>
      <c r="D1118" s="217" t="s">
        <v>737</v>
      </c>
      <c r="E1118" s="142"/>
      <c r="F1118" s="143"/>
      <c r="G1118" s="142"/>
      <c r="H1118" s="417"/>
      <c r="I1118" s="307" t="e">
        <f>J1118+K1118+L1118+M1118+#REF!+#REF!</f>
        <v>#REF!</v>
      </c>
      <c r="J1118" s="144"/>
      <c r="K1118" s="144"/>
      <c r="L1118" s="144"/>
      <c r="M1118" s="169"/>
      <c r="N1118" s="407"/>
      <c r="O1118" s="407"/>
      <c r="P1118" s="407"/>
      <c r="Q1118" s="407"/>
      <c r="R1118" s="407"/>
      <c r="S1118" s="407"/>
      <c r="T1118" s="407"/>
      <c r="U1118" s="407"/>
      <c r="V1118" s="407"/>
      <c r="W1118" s="407"/>
      <c r="X1118" s="407"/>
      <c r="Y1118" s="407"/>
      <c r="Z1118" s="407"/>
      <c r="AA1118" s="407">
        <f t="shared" si="141"/>
        <v>0</v>
      </c>
      <c r="AC1118" s="499"/>
      <c r="AD1118" s="512"/>
      <c r="AE1118" s="512"/>
      <c r="AF1118" s="512"/>
      <c r="AG1118" s="507"/>
      <c r="AH1118" s="507"/>
    </row>
    <row r="1119" spans="1:34" ht="31.5" hidden="1">
      <c r="A1119" s="608"/>
      <c r="B1119" s="608"/>
      <c r="C1119" s="218"/>
      <c r="D1119" s="217" t="s">
        <v>738</v>
      </c>
      <c r="E1119" s="142"/>
      <c r="F1119" s="143"/>
      <c r="G1119" s="142"/>
      <c r="H1119" s="417"/>
      <c r="I1119" s="307" t="e">
        <f>J1119+K1119+L1119+M1119+#REF!+#REF!</f>
        <v>#REF!</v>
      </c>
      <c r="J1119" s="144"/>
      <c r="K1119" s="144"/>
      <c r="L1119" s="144"/>
      <c r="M1119" s="169"/>
      <c r="N1119" s="407"/>
      <c r="O1119" s="407"/>
      <c r="P1119" s="407"/>
      <c r="Q1119" s="407"/>
      <c r="R1119" s="407"/>
      <c r="S1119" s="407"/>
      <c r="T1119" s="407"/>
      <c r="U1119" s="407"/>
      <c r="V1119" s="407"/>
      <c r="W1119" s="407"/>
      <c r="X1119" s="407"/>
      <c r="Y1119" s="407"/>
      <c r="Z1119" s="407"/>
      <c r="AA1119" s="407">
        <f t="shared" si="141"/>
        <v>0</v>
      </c>
      <c r="AC1119" s="499"/>
      <c r="AD1119" s="512"/>
      <c r="AE1119" s="512"/>
      <c r="AF1119" s="512"/>
      <c r="AG1119" s="507"/>
      <c r="AH1119" s="507"/>
    </row>
    <row r="1120" spans="1:34" ht="31.5">
      <c r="A1120" s="608"/>
      <c r="B1120" s="608"/>
      <c r="C1120" s="218" t="s">
        <v>739</v>
      </c>
      <c r="D1120" s="240" t="s">
        <v>740</v>
      </c>
      <c r="E1120" s="142"/>
      <c r="F1120" s="143"/>
      <c r="G1120" s="142"/>
      <c r="H1120" s="417">
        <v>2281</v>
      </c>
      <c r="I1120" s="307">
        <v>334226.88</v>
      </c>
      <c r="J1120" s="144"/>
      <c r="K1120" s="144"/>
      <c r="L1120" s="144">
        <v>334226.88</v>
      </c>
      <c r="M1120" s="169"/>
      <c r="N1120" s="407"/>
      <c r="O1120" s="307">
        <v>334226.88</v>
      </c>
      <c r="P1120" s="407"/>
      <c r="Q1120" s="407"/>
      <c r="R1120" s="407"/>
      <c r="S1120" s="407"/>
      <c r="T1120" s="407"/>
      <c r="U1120" s="407"/>
      <c r="V1120" s="407"/>
      <c r="W1120" s="407"/>
      <c r="X1120" s="407"/>
      <c r="Y1120" s="407"/>
      <c r="Z1120" s="307">
        <v>334226.88</v>
      </c>
      <c r="AA1120" s="407">
        <f t="shared" si="141"/>
        <v>0</v>
      </c>
      <c r="AC1120" s="499"/>
      <c r="AD1120" s="512">
        <v>334226.88</v>
      </c>
      <c r="AE1120" s="512"/>
      <c r="AF1120" s="512" t="s">
        <v>161</v>
      </c>
      <c r="AG1120" s="507"/>
      <c r="AH1120" s="507"/>
    </row>
    <row r="1121" spans="1:34" ht="31.5" hidden="1">
      <c r="A1121" s="608"/>
      <c r="B1121" s="608"/>
      <c r="C1121" s="218" t="s">
        <v>741</v>
      </c>
      <c r="D1121" s="240" t="s">
        <v>742</v>
      </c>
      <c r="E1121" s="142"/>
      <c r="F1121" s="143"/>
      <c r="G1121" s="142"/>
      <c r="H1121" s="417">
        <v>2281</v>
      </c>
      <c r="I1121" s="307">
        <v>0</v>
      </c>
      <c r="J1121" s="144"/>
      <c r="K1121" s="144"/>
      <c r="L1121" s="144"/>
      <c r="M1121" s="169"/>
      <c r="N1121" s="407"/>
      <c r="O1121" s="407"/>
      <c r="P1121" s="407"/>
      <c r="Q1121" s="407"/>
      <c r="R1121" s="407"/>
      <c r="S1121" s="407"/>
      <c r="T1121" s="407"/>
      <c r="U1121" s="407"/>
      <c r="V1121" s="407"/>
      <c r="W1121" s="407"/>
      <c r="X1121" s="407"/>
      <c r="Y1121" s="407"/>
      <c r="Z1121" s="407"/>
      <c r="AA1121" s="407">
        <f t="shared" si="141"/>
        <v>0</v>
      </c>
      <c r="AC1121" s="499"/>
      <c r="AD1121" s="512"/>
      <c r="AE1121" s="512"/>
      <c r="AF1121" s="512"/>
      <c r="AG1121" s="507"/>
      <c r="AH1121" s="507"/>
    </row>
    <row r="1122" spans="1:34" ht="47.25" hidden="1">
      <c r="A1122" s="608"/>
      <c r="B1122" s="608"/>
      <c r="C1122" s="218" t="s">
        <v>1265</v>
      </c>
      <c r="D1122" s="240" t="s">
        <v>1378</v>
      </c>
      <c r="E1122" s="142"/>
      <c r="F1122" s="143"/>
      <c r="G1122" s="142"/>
      <c r="H1122" s="417">
        <v>2281</v>
      </c>
      <c r="I1122" s="307">
        <v>0</v>
      </c>
      <c r="J1122" s="144"/>
      <c r="K1122" s="144"/>
      <c r="L1122" s="144"/>
      <c r="M1122" s="169"/>
      <c r="N1122" s="407"/>
      <c r="O1122" s="407"/>
      <c r="P1122" s="407"/>
      <c r="Q1122" s="407"/>
      <c r="R1122" s="407"/>
      <c r="S1122" s="407"/>
      <c r="T1122" s="407"/>
      <c r="U1122" s="407"/>
      <c r="V1122" s="407"/>
      <c r="W1122" s="407"/>
      <c r="X1122" s="407"/>
      <c r="Y1122" s="407"/>
      <c r="Z1122" s="407"/>
      <c r="AA1122" s="407">
        <f t="shared" si="141"/>
        <v>0</v>
      </c>
      <c r="AC1122" s="499"/>
      <c r="AD1122" s="512"/>
      <c r="AE1122" s="512"/>
      <c r="AF1122" s="512"/>
      <c r="AG1122" s="507"/>
      <c r="AH1122" s="507"/>
    </row>
    <row r="1123" spans="1:34" ht="31.5" hidden="1">
      <c r="A1123" s="608"/>
      <c r="B1123" s="608"/>
      <c r="C1123" s="218" t="s">
        <v>1560</v>
      </c>
      <c r="D1123" s="240" t="s">
        <v>2058</v>
      </c>
      <c r="E1123" s="142"/>
      <c r="F1123" s="143"/>
      <c r="G1123" s="142"/>
      <c r="H1123" s="417">
        <v>2281</v>
      </c>
      <c r="I1123" s="307">
        <v>0</v>
      </c>
      <c r="J1123" s="144"/>
      <c r="K1123" s="144"/>
      <c r="L1123" s="144"/>
      <c r="M1123" s="169"/>
      <c r="N1123" s="407"/>
      <c r="O1123" s="407"/>
      <c r="P1123" s="407"/>
      <c r="Q1123" s="407"/>
      <c r="R1123" s="407"/>
      <c r="S1123" s="407"/>
      <c r="T1123" s="407"/>
      <c r="U1123" s="407"/>
      <c r="V1123" s="407"/>
      <c r="W1123" s="407"/>
      <c r="X1123" s="407"/>
      <c r="Y1123" s="407"/>
      <c r="Z1123" s="407"/>
      <c r="AA1123" s="407">
        <f t="shared" si="141"/>
        <v>0</v>
      </c>
      <c r="AC1123" s="499"/>
      <c r="AD1123" s="512"/>
      <c r="AE1123" s="512"/>
      <c r="AF1123" s="512"/>
      <c r="AG1123" s="507"/>
      <c r="AH1123" s="507"/>
    </row>
    <row r="1124" spans="1:34" ht="15.75" hidden="1">
      <c r="A1124" s="608"/>
      <c r="B1124" s="608"/>
      <c r="C1124" s="218" t="s">
        <v>2059</v>
      </c>
      <c r="D1124" s="240" t="s">
        <v>91</v>
      </c>
      <c r="E1124" s="142"/>
      <c r="F1124" s="143"/>
      <c r="G1124" s="142"/>
      <c r="H1124" s="417">
        <v>2281</v>
      </c>
      <c r="I1124" s="307">
        <v>0</v>
      </c>
      <c r="J1124" s="144"/>
      <c r="K1124" s="144"/>
      <c r="L1124" s="144"/>
      <c r="M1124" s="169"/>
      <c r="N1124" s="407"/>
      <c r="O1124" s="407"/>
      <c r="P1124" s="407"/>
      <c r="Q1124" s="407"/>
      <c r="R1124" s="407"/>
      <c r="S1124" s="407"/>
      <c r="T1124" s="407"/>
      <c r="U1124" s="407"/>
      <c r="V1124" s="407"/>
      <c r="W1124" s="407"/>
      <c r="X1124" s="407"/>
      <c r="Y1124" s="407"/>
      <c r="Z1124" s="407"/>
      <c r="AA1124" s="407">
        <f t="shared" si="141"/>
        <v>0</v>
      </c>
      <c r="AC1124" s="499"/>
      <c r="AD1124" s="512"/>
      <c r="AE1124" s="512"/>
      <c r="AF1124" s="512"/>
      <c r="AG1124" s="507"/>
      <c r="AH1124" s="507"/>
    </row>
    <row r="1125" spans="1:34" ht="15.75">
      <c r="A1125" s="608"/>
      <c r="B1125" s="608"/>
      <c r="C1125" s="218"/>
      <c r="D1125" s="75" t="s">
        <v>288</v>
      </c>
      <c r="E1125" s="142"/>
      <c r="F1125" s="143"/>
      <c r="G1125" s="142"/>
      <c r="H1125" s="417">
        <v>2281</v>
      </c>
      <c r="I1125" s="307">
        <v>779863.12</v>
      </c>
      <c r="J1125" s="144"/>
      <c r="K1125" s="144"/>
      <c r="L1125" s="470">
        <v>779863.12</v>
      </c>
      <c r="M1125" s="169"/>
      <c r="N1125" s="407"/>
      <c r="O1125" s="407"/>
      <c r="P1125" s="407"/>
      <c r="Q1125" s="407">
        <v>779863.12</v>
      </c>
      <c r="R1125" s="407"/>
      <c r="S1125" s="407"/>
      <c r="T1125" s="407"/>
      <c r="U1125" s="407"/>
      <c r="V1125" s="407"/>
      <c r="W1125" s="407"/>
      <c r="X1125" s="407"/>
      <c r="Y1125" s="407"/>
      <c r="Z1125" s="407"/>
      <c r="AA1125" s="407">
        <f t="shared" si="141"/>
        <v>779863.12</v>
      </c>
      <c r="AC1125" s="499"/>
      <c r="AD1125" s="512">
        <v>779863.12</v>
      </c>
      <c r="AE1125" s="512"/>
      <c r="AF1125" s="512"/>
      <c r="AG1125" s="507"/>
      <c r="AH1125" s="507"/>
    </row>
    <row r="1126" spans="1:34" ht="15.75">
      <c r="A1126" s="608"/>
      <c r="B1126" s="608"/>
      <c r="C1126" s="218"/>
      <c r="D1126" s="75" t="s">
        <v>289</v>
      </c>
      <c r="E1126" s="142"/>
      <c r="F1126" s="143"/>
      <c r="G1126" s="142"/>
      <c r="H1126" s="417">
        <v>2281</v>
      </c>
      <c r="I1126" s="307">
        <v>1400000</v>
      </c>
      <c r="J1126" s="144"/>
      <c r="K1126" s="144"/>
      <c r="L1126" s="470">
        <v>1400000</v>
      </c>
      <c r="M1126" s="169"/>
      <c r="N1126" s="407"/>
      <c r="O1126" s="407"/>
      <c r="P1126" s="407"/>
      <c r="Q1126" s="407"/>
      <c r="R1126" s="407"/>
      <c r="S1126" s="407"/>
      <c r="T1126" s="407"/>
      <c r="U1126" s="407">
        <v>700000</v>
      </c>
      <c r="V1126" s="407">
        <v>700000</v>
      </c>
      <c r="W1126" s="407"/>
      <c r="X1126" s="407"/>
      <c r="Y1126" s="407"/>
      <c r="Z1126" s="407"/>
      <c r="AA1126" s="407">
        <f t="shared" si="141"/>
        <v>1400000</v>
      </c>
      <c r="AC1126" s="499"/>
      <c r="AD1126" s="512">
        <v>1400000</v>
      </c>
      <c r="AE1126" s="512"/>
      <c r="AF1126" s="512"/>
      <c r="AG1126" s="507"/>
      <c r="AH1126" s="507"/>
    </row>
    <row r="1127" spans="1:34" s="30" customFormat="1" ht="31.5">
      <c r="A1127" s="608"/>
      <c r="B1127" s="608"/>
      <c r="C1127" s="571"/>
      <c r="D1127" s="225" t="s">
        <v>845</v>
      </c>
      <c r="E1127" s="331"/>
      <c r="F1127" s="332"/>
      <c r="G1127" s="331"/>
      <c r="H1127" s="417"/>
      <c r="I1127" s="322">
        <f aca="true" t="shared" si="147" ref="I1127:Z1127">SUM(I1128:I1130)</f>
        <v>384697.37</v>
      </c>
      <c r="J1127" s="322">
        <f t="shared" si="147"/>
        <v>0</v>
      </c>
      <c r="K1127" s="322">
        <f t="shared" si="147"/>
        <v>0</v>
      </c>
      <c r="L1127" s="322">
        <f t="shared" si="147"/>
        <v>384697.37</v>
      </c>
      <c r="M1127" s="322">
        <f t="shared" si="147"/>
        <v>0</v>
      </c>
      <c r="N1127" s="322">
        <f t="shared" si="147"/>
        <v>0</v>
      </c>
      <c r="O1127" s="322">
        <f t="shared" si="147"/>
        <v>4697.37</v>
      </c>
      <c r="P1127" s="322">
        <f t="shared" si="147"/>
        <v>0</v>
      </c>
      <c r="Q1127" s="322">
        <f t="shared" si="147"/>
        <v>0</v>
      </c>
      <c r="R1127" s="322">
        <f t="shared" si="147"/>
        <v>100000</v>
      </c>
      <c r="S1127" s="322">
        <f t="shared" si="147"/>
        <v>40000</v>
      </c>
      <c r="T1127" s="322">
        <f t="shared" si="147"/>
        <v>40000</v>
      </c>
      <c r="U1127" s="322">
        <f t="shared" si="147"/>
        <v>40000</v>
      </c>
      <c r="V1127" s="322">
        <f t="shared" si="147"/>
        <v>40000</v>
      </c>
      <c r="W1127" s="322">
        <f t="shared" si="147"/>
        <v>40000</v>
      </c>
      <c r="X1127" s="322">
        <f t="shared" si="147"/>
        <v>40000</v>
      </c>
      <c r="Y1127" s="322">
        <f t="shared" si="147"/>
        <v>40000</v>
      </c>
      <c r="Z1127" s="322">
        <f t="shared" si="147"/>
        <v>120200.39</v>
      </c>
      <c r="AA1127" s="407">
        <f t="shared" si="141"/>
        <v>224496.98</v>
      </c>
      <c r="AC1127" s="59"/>
      <c r="AD1127" s="514"/>
      <c r="AE1127" s="514"/>
      <c r="AF1127" s="514"/>
      <c r="AG1127" s="509"/>
      <c r="AH1127" s="509"/>
    </row>
    <row r="1128" spans="1:34" ht="63">
      <c r="A1128" s="608"/>
      <c r="B1128" s="608"/>
      <c r="C1128" s="572"/>
      <c r="D1128" s="353" t="s">
        <v>623</v>
      </c>
      <c r="E1128" s="292"/>
      <c r="F1128" s="335"/>
      <c r="G1128" s="292"/>
      <c r="H1128" s="417">
        <v>2281</v>
      </c>
      <c r="I1128" s="307">
        <v>4697.37</v>
      </c>
      <c r="J1128" s="307"/>
      <c r="K1128" s="307"/>
      <c r="L1128" s="307">
        <v>4697.37</v>
      </c>
      <c r="M1128" s="307"/>
      <c r="N1128" s="407"/>
      <c r="O1128" s="307">
        <v>4697.37</v>
      </c>
      <c r="P1128" s="407"/>
      <c r="Q1128" s="407"/>
      <c r="R1128" s="407"/>
      <c r="S1128" s="407"/>
      <c r="T1128" s="407"/>
      <c r="U1128" s="407"/>
      <c r="V1128" s="407"/>
      <c r="W1128" s="407"/>
      <c r="X1128" s="407"/>
      <c r="Y1128" s="407"/>
      <c r="Z1128" s="307">
        <v>4697.37</v>
      </c>
      <c r="AA1128" s="407">
        <f t="shared" si="141"/>
        <v>0</v>
      </c>
      <c r="AC1128" s="499"/>
      <c r="AD1128" s="512">
        <v>4697.37</v>
      </c>
      <c r="AE1128" s="512"/>
      <c r="AF1128" s="512" t="s">
        <v>162</v>
      </c>
      <c r="AG1128" s="507"/>
      <c r="AH1128" s="507"/>
    </row>
    <row r="1129" spans="1:34" ht="242.25">
      <c r="A1129" s="608"/>
      <c r="B1129" s="608"/>
      <c r="C1129" s="573"/>
      <c r="D1129" s="375" t="s">
        <v>1167</v>
      </c>
      <c r="E1129" s="292"/>
      <c r="F1129" s="335"/>
      <c r="G1129" s="292"/>
      <c r="H1129" s="417">
        <v>2281</v>
      </c>
      <c r="I1129" s="307">
        <v>80000</v>
      </c>
      <c r="J1129" s="307"/>
      <c r="K1129" s="307"/>
      <c r="L1129" s="376">
        <v>80000</v>
      </c>
      <c r="M1129" s="307"/>
      <c r="N1129" s="407"/>
      <c r="O1129" s="407"/>
      <c r="P1129" s="407"/>
      <c r="Q1129" s="407"/>
      <c r="R1129" s="407">
        <v>10000</v>
      </c>
      <c r="S1129" s="407">
        <v>10000</v>
      </c>
      <c r="T1129" s="407">
        <v>10000</v>
      </c>
      <c r="U1129" s="407">
        <v>10000</v>
      </c>
      <c r="V1129" s="407">
        <v>10000</v>
      </c>
      <c r="W1129" s="407">
        <v>10000</v>
      </c>
      <c r="X1129" s="407">
        <v>10000</v>
      </c>
      <c r="Y1129" s="407">
        <v>10000</v>
      </c>
      <c r="Z1129" s="407">
        <f>2541.01+5480+1943.78+3400-4230+2683</f>
        <v>11817.79</v>
      </c>
      <c r="AA1129" s="407">
        <f t="shared" si="141"/>
        <v>58182.21</v>
      </c>
      <c r="AC1129" s="499"/>
      <c r="AD1129" s="512">
        <v>80000</v>
      </c>
      <c r="AE1129" s="512"/>
      <c r="AF1129" s="512" t="s">
        <v>1306</v>
      </c>
      <c r="AG1129" s="507"/>
      <c r="AH1129" s="507"/>
    </row>
    <row r="1130" spans="1:34" ht="140.25">
      <c r="A1130" s="608"/>
      <c r="B1130" s="608"/>
      <c r="C1130" s="333" t="s">
        <v>1723</v>
      </c>
      <c r="D1130" s="375" t="s">
        <v>1168</v>
      </c>
      <c r="E1130" s="292"/>
      <c r="F1130" s="335"/>
      <c r="G1130" s="292"/>
      <c r="H1130" s="417">
        <v>2281</v>
      </c>
      <c r="I1130" s="307">
        <v>300000</v>
      </c>
      <c r="J1130" s="307"/>
      <c r="K1130" s="307"/>
      <c r="L1130" s="376">
        <v>300000</v>
      </c>
      <c r="M1130" s="307"/>
      <c r="N1130" s="407"/>
      <c r="O1130" s="407"/>
      <c r="P1130" s="407"/>
      <c r="Q1130" s="407"/>
      <c r="R1130" s="407">
        <v>90000</v>
      </c>
      <c r="S1130" s="407">
        <v>30000</v>
      </c>
      <c r="T1130" s="407">
        <v>30000</v>
      </c>
      <c r="U1130" s="407">
        <v>30000</v>
      </c>
      <c r="V1130" s="407">
        <v>30000</v>
      </c>
      <c r="W1130" s="407">
        <v>30000</v>
      </c>
      <c r="X1130" s="407">
        <v>30000</v>
      </c>
      <c r="Y1130" s="407">
        <v>30000</v>
      </c>
      <c r="Z1130" s="407">
        <f>78472.18+20983.05+4230</f>
        <v>103685.23</v>
      </c>
      <c r="AA1130" s="407">
        <f t="shared" si="141"/>
        <v>166314.77</v>
      </c>
      <c r="AC1130" s="499"/>
      <c r="AD1130" s="512">
        <v>300000</v>
      </c>
      <c r="AE1130" s="512"/>
      <c r="AF1130" s="512" t="s">
        <v>1307</v>
      </c>
      <c r="AG1130" s="507"/>
      <c r="AH1130" s="507"/>
    </row>
    <row r="1131" spans="1:34" s="30" customFormat="1" ht="31.5">
      <c r="A1131" s="608"/>
      <c r="B1131" s="608"/>
      <c r="C1131" s="306"/>
      <c r="D1131" s="225" t="s">
        <v>1682</v>
      </c>
      <c r="E1131" s="331"/>
      <c r="F1131" s="332"/>
      <c r="G1131" s="331"/>
      <c r="H1131" s="431"/>
      <c r="I1131" s="322">
        <f>SUM(I1132:I1132)</f>
        <v>20000</v>
      </c>
      <c r="J1131" s="322">
        <f>SUM(J1132:J1132)</f>
        <v>0</v>
      </c>
      <c r="K1131" s="322">
        <f>SUM(K1132:K1132)</f>
        <v>0</v>
      </c>
      <c r="L1131" s="322">
        <f>SUM(L1132:L1132)</f>
        <v>0</v>
      </c>
      <c r="M1131" s="322">
        <f>SUM(M1132:M1132)</f>
        <v>20000</v>
      </c>
      <c r="N1131" s="322">
        <f aca="true" t="shared" si="148" ref="N1131:Z1131">SUM(N1132:N1132)</f>
        <v>0</v>
      </c>
      <c r="O1131" s="322">
        <f t="shared" si="148"/>
        <v>0</v>
      </c>
      <c r="P1131" s="322">
        <f t="shared" si="148"/>
        <v>0</v>
      </c>
      <c r="Q1131" s="322">
        <f t="shared" si="148"/>
        <v>0</v>
      </c>
      <c r="R1131" s="322">
        <f t="shared" si="148"/>
        <v>0</v>
      </c>
      <c r="S1131" s="322">
        <f t="shared" si="148"/>
        <v>0</v>
      </c>
      <c r="T1131" s="322">
        <f t="shared" si="148"/>
        <v>0</v>
      </c>
      <c r="U1131" s="322">
        <f t="shared" si="148"/>
        <v>0</v>
      </c>
      <c r="V1131" s="322">
        <f t="shared" si="148"/>
        <v>20000</v>
      </c>
      <c r="W1131" s="322">
        <f t="shared" si="148"/>
        <v>0</v>
      </c>
      <c r="X1131" s="322">
        <f t="shared" si="148"/>
        <v>0</v>
      </c>
      <c r="Y1131" s="322">
        <f t="shared" si="148"/>
        <v>0</v>
      </c>
      <c r="Z1131" s="322">
        <f t="shared" si="148"/>
        <v>0</v>
      </c>
      <c r="AA1131" s="407">
        <f t="shared" si="141"/>
        <v>20000</v>
      </c>
      <c r="AC1131" s="59"/>
      <c r="AD1131" s="514"/>
      <c r="AE1131" s="514"/>
      <c r="AF1131" s="514"/>
      <c r="AG1131" s="509"/>
      <c r="AH1131" s="509"/>
    </row>
    <row r="1132" spans="1:34" s="30" customFormat="1" ht="56.25" customHeight="1">
      <c r="A1132" s="608"/>
      <c r="B1132" s="608"/>
      <c r="C1132" s="306" t="s">
        <v>1683</v>
      </c>
      <c r="D1132" s="217" t="s">
        <v>1169</v>
      </c>
      <c r="E1132" s="292"/>
      <c r="F1132" s="335"/>
      <c r="G1132" s="292"/>
      <c r="H1132" s="427">
        <v>3110</v>
      </c>
      <c r="I1132" s="307">
        <v>20000</v>
      </c>
      <c r="J1132" s="307"/>
      <c r="K1132" s="307"/>
      <c r="L1132" s="307"/>
      <c r="M1132" s="307">
        <v>20000</v>
      </c>
      <c r="N1132" s="439"/>
      <c r="O1132" s="439"/>
      <c r="P1132" s="439"/>
      <c r="Q1132" s="439"/>
      <c r="R1132" s="439"/>
      <c r="S1132" s="439"/>
      <c r="T1132" s="439"/>
      <c r="U1132" s="439"/>
      <c r="V1132" s="439">
        <v>20000</v>
      </c>
      <c r="W1132" s="439"/>
      <c r="X1132" s="439"/>
      <c r="Y1132" s="439"/>
      <c r="Z1132" s="439"/>
      <c r="AA1132" s="407">
        <f t="shared" si="141"/>
        <v>20000</v>
      </c>
      <c r="AC1132" s="59"/>
      <c r="AD1132" s="514">
        <v>20000</v>
      </c>
      <c r="AE1132" s="514"/>
      <c r="AF1132" s="514" t="s">
        <v>1722</v>
      </c>
      <c r="AG1132" s="509"/>
      <c r="AH1132" s="509"/>
    </row>
    <row r="1133" spans="1:34" s="30" customFormat="1" ht="15.75" hidden="1">
      <c r="A1133" s="305"/>
      <c r="B1133" s="305"/>
      <c r="C1133" s="289"/>
      <c r="D1133" s="225" t="s">
        <v>1454</v>
      </c>
      <c r="E1133" s="331"/>
      <c r="F1133" s="332"/>
      <c r="G1133" s="331"/>
      <c r="H1133" s="431">
        <v>3110</v>
      </c>
      <c r="I1133" s="322">
        <f>114000-114000</f>
        <v>0</v>
      </c>
      <c r="J1133" s="322"/>
      <c r="K1133" s="322"/>
      <c r="L1133" s="322"/>
      <c r="M1133" s="322"/>
      <c r="N1133" s="439"/>
      <c r="O1133" s="439"/>
      <c r="P1133" s="439"/>
      <c r="Q1133" s="439"/>
      <c r="R1133" s="439"/>
      <c r="S1133" s="439"/>
      <c r="T1133" s="439"/>
      <c r="U1133" s="439"/>
      <c r="V1133" s="439">
        <f>114000</f>
        <v>114000</v>
      </c>
      <c r="W1133" s="439"/>
      <c r="X1133" s="439">
        <v>-114000</v>
      </c>
      <c r="Y1133" s="439"/>
      <c r="Z1133" s="439"/>
      <c r="AA1133" s="407">
        <f t="shared" si="141"/>
        <v>0</v>
      </c>
      <c r="AC1133" s="59"/>
      <c r="AD1133" s="514"/>
      <c r="AE1133" s="514"/>
      <c r="AF1133" s="514"/>
      <c r="AG1133" s="509"/>
      <c r="AH1133" s="509"/>
    </row>
    <row r="1134" spans="1:34" ht="15.75">
      <c r="A1134" s="289"/>
      <c r="B1134" s="289"/>
      <c r="C1134" s="306"/>
      <c r="D1134" s="271"/>
      <c r="E1134" s="292"/>
      <c r="F1134" s="335"/>
      <c r="G1134" s="292"/>
      <c r="H1134" s="427"/>
      <c r="I1134" s="307"/>
      <c r="J1134" s="307"/>
      <c r="K1134" s="307"/>
      <c r="L1134" s="307"/>
      <c r="M1134" s="307"/>
      <c r="N1134" s="407"/>
      <c r="O1134" s="407"/>
      <c r="P1134" s="407"/>
      <c r="Q1134" s="407"/>
      <c r="R1134" s="407"/>
      <c r="S1134" s="407"/>
      <c r="T1134" s="407"/>
      <c r="U1134" s="407"/>
      <c r="V1134" s="407"/>
      <c r="W1134" s="407"/>
      <c r="X1134" s="407"/>
      <c r="Y1134" s="407"/>
      <c r="Z1134" s="407"/>
      <c r="AA1134" s="407">
        <f t="shared" si="141"/>
        <v>0</v>
      </c>
      <c r="AC1134" s="499"/>
      <c r="AD1134" s="512"/>
      <c r="AE1134" s="512"/>
      <c r="AF1134" s="512"/>
      <c r="AG1134" s="507"/>
      <c r="AH1134" s="507"/>
    </row>
    <row r="1135" spans="1:62" ht="15.75" customHeight="1">
      <c r="A1135" s="233" t="s">
        <v>1603</v>
      </c>
      <c r="B1135" s="584" t="s">
        <v>306</v>
      </c>
      <c r="C1135" s="584"/>
      <c r="D1135" s="584"/>
      <c r="E1135" s="193"/>
      <c r="F1135" s="194"/>
      <c r="G1135" s="193"/>
      <c r="H1135" s="425"/>
      <c r="I1135" s="132">
        <f aca="true" t="shared" si="149" ref="I1135:Z1135">I1136+I1139+I1142</f>
        <v>6714000</v>
      </c>
      <c r="J1135" s="132">
        <f t="shared" si="149"/>
        <v>0</v>
      </c>
      <c r="K1135" s="132">
        <f t="shared" si="149"/>
        <v>0</v>
      </c>
      <c r="L1135" s="132">
        <f t="shared" si="149"/>
        <v>6200000</v>
      </c>
      <c r="M1135" s="132">
        <f t="shared" si="149"/>
        <v>0</v>
      </c>
      <c r="N1135" s="132">
        <f t="shared" si="149"/>
        <v>0</v>
      </c>
      <c r="O1135" s="132">
        <f t="shared" si="149"/>
        <v>0</v>
      </c>
      <c r="P1135" s="132">
        <f t="shared" si="149"/>
        <v>0</v>
      </c>
      <c r="Q1135" s="132">
        <f t="shared" si="149"/>
        <v>5000000</v>
      </c>
      <c r="R1135" s="132">
        <f t="shared" si="149"/>
        <v>500000</v>
      </c>
      <c r="S1135" s="132">
        <f t="shared" si="149"/>
        <v>700000</v>
      </c>
      <c r="T1135" s="132">
        <f t="shared" si="149"/>
        <v>0</v>
      </c>
      <c r="U1135" s="132">
        <f t="shared" si="149"/>
        <v>1117807</v>
      </c>
      <c r="V1135" s="132">
        <f t="shared" si="149"/>
        <v>-603807</v>
      </c>
      <c r="W1135" s="132">
        <f t="shared" si="149"/>
        <v>0</v>
      </c>
      <c r="X1135" s="132">
        <f t="shared" si="149"/>
        <v>0</v>
      </c>
      <c r="Y1135" s="132">
        <f t="shared" si="149"/>
        <v>0</v>
      </c>
      <c r="Z1135" s="132">
        <f t="shared" si="149"/>
        <v>6400000</v>
      </c>
      <c r="AA1135" s="407">
        <f t="shared" si="141"/>
        <v>314000</v>
      </c>
      <c r="AB1135" s="23"/>
      <c r="AC1135" s="504"/>
      <c r="AD1135" s="523"/>
      <c r="AE1135" s="523"/>
      <c r="AF1135" s="523"/>
      <c r="AG1135" s="524"/>
      <c r="AH1135" s="524"/>
      <c r="AI1135" s="23"/>
      <c r="AJ1135" s="23"/>
      <c r="AK1135" s="23"/>
      <c r="AL1135" s="23"/>
      <c r="AM1135" s="23"/>
      <c r="AN1135" s="23"/>
      <c r="AO1135" s="23"/>
      <c r="AP1135" s="23"/>
      <c r="AQ1135" s="23"/>
      <c r="AR1135" s="23"/>
      <c r="AS1135" s="23"/>
      <c r="AT1135" s="23"/>
      <c r="AU1135" s="23"/>
      <c r="AV1135" s="23"/>
      <c r="AW1135" s="23"/>
      <c r="AX1135" s="23"/>
      <c r="AY1135" s="23"/>
      <c r="AZ1135" s="23"/>
      <c r="BA1135" s="23"/>
      <c r="BB1135" s="23"/>
      <c r="BC1135" s="23"/>
      <c r="BD1135" s="23"/>
      <c r="BE1135" s="23"/>
      <c r="BF1135" s="23"/>
      <c r="BG1135" s="23"/>
      <c r="BH1135" s="23"/>
      <c r="BI1135" s="23"/>
      <c r="BJ1135" s="23"/>
    </row>
    <row r="1136" spans="1:34" ht="15.75">
      <c r="A1136" s="587" t="s">
        <v>1104</v>
      </c>
      <c r="B1136" s="605" t="s">
        <v>633</v>
      </c>
      <c r="C1136" s="337"/>
      <c r="D1136" s="136" t="s">
        <v>1456</v>
      </c>
      <c r="E1136" s="158"/>
      <c r="F1136" s="159"/>
      <c r="G1136" s="158"/>
      <c r="H1136" s="419"/>
      <c r="I1136" s="139">
        <f>SUM(I1137:I1138)+I1141+I1140</f>
        <v>6514000</v>
      </c>
      <c r="J1136" s="139">
        <f aca="true" t="shared" si="150" ref="J1136:Z1136">SUM(J1137:J1138)+J1141+J1140</f>
        <v>0</v>
      </c>
      <c r="K1136" s="139">
        <f t="shared" si="150"/>
        <v>0</v>
      </c>
      <c r="L1136" s="139">
        <f t="shared" si="150"/>
        <v>6000000</v>
      </c>
      <c r="M1136" s="139">
        <f t="shared" si="150"/>
        <v>0</v>
      </c>
      <c r="N1136" s="139">
        <f t="shared" si="150"/>
        <v>0</v>
      </c>
      <c r="O1136" s="139">
        <f t="shared" si="150"/>
        <v>0</v>
      </c>
      <c r="P1136" s="139">
        <f t="shared" si="150"/>
        <v>0</v>
      </c>
      <c r="Q1136" s="139">
        <f t="shared" si="150"/>
        <v>5000000</v>
      </c>
      <c r="R1136" s="139">
        <f t="shared" si="150"/>
        <v>500000</v>
      </c>
      <c r="S1136" s="139">
        <f t="shared" si="150"/>
        <v>500000</v>
      </c>
      <c r="T1136" s="139">
        <f t="shared" si="150"/>
        <v>0</v>
      </c>
      <c r="U1136" s="139">
        <f t="shared" si="150"/>
        <v>1117807</v>
      </c>
      <c r="V1136" s="139">
        <f t="shared" si="150"/>
        <v>-717807</v>
      </c>
      <c r="W1136" s="139">
        <f t="shared" si="150"/>
        <v>0</v>
      </c>
      <c r="X1136" s="139">
        <f t="shared" si="150"/>
        <v>114000</v>
      </c>
      <c r="Y1136" s="139">
        <f t="shared" si="150"/>
        <v>0</v>
      </c>
      <c r="Z1136" s="139">
        <f t="shared" si="150"/>
        <v>6400000</v>
      </c>
      <c r="AA1136" s="407">
        <f t="shared" si="141"/>
        <v>114000</v>
      </c>
      <c r="AC1136" s="499"/>
      <c r="AD1136" s="512"/>
      <c r="AE1136" s="512"/>
      <c r="AF1136" s="512"/>
      <c r="AG1136" s="507"/>
      <c r="AH1136" s="507"/>
    </row>
    <row r="1137" spans="1:34" s="40" customFormat="1" ht="31.5">
      <c r="A1137" s="588"/>
      <c r="B1137" s="607"/>
      <c r="C1137" s="338"/>
      <c r="D1137" s="141" t="s">
        <v>1193</v>
      </c>
      <c r="E1137" s="142"/>
      <c r="F1137" s="143"/>
      <c r="G1137" s="142"/>
      <c r="H1137" s="417">
        <v>3220</v>
      </c>
      <c r="I1137" s="144">
        <f>4500000+400000</f>
        <v>4900000</v>
      </c>
      <c r="J1137" s="144"/>
      <c r="K1137" s="144"/>
      <c r="L1137" s="471">
        <v>4500000</v>
      </c>
      <c r="M1137" s="144"/>
      <c r="N1137" s="407"/>
      <c r="O1137" s="407"/>
      <c r="P1137" s="407"/>
      <c r="Q1137" s="407">
        <v>4500000</v>
      </c>
      <c r="R1137" s="407"/>
      <c r="S1137" s="407"/>
      <c r="T1137" s="407"/>
      <c r="U1137" s="407">
        <v>236000</v>
      </c>
      <c r="V1137" s="407">
        <v>164000</v>
      </c>
      <c r="W1137" s="407"/>
      <c r="X1137" s="407"/>
      <c r="Y1137" s="407"/>
      <c r="Z1137" s="407">
        <f>4500000+400000</f>
        <v>4900000</v>
      </c>
      <c r="AA1137" s="407">
        <f aca="true" t="shared" si="151" ref="AA1137:AA1187">N1137+O1137+P1137+Q1137+R1137+S1137+T1137+U1137+V1137+W1137+X1137-Z1137</f>
        <v>0</v>
      </c>
      <c r="AC1137" s="498"/>
      <c r="AD1137" s="512"/>
      <c r="AE1137" s="512"/>
      <c r="AF1137" s="512"/>
      <c r="AG1137" s="507"/>
      <c r="AH1137" s="507"/>
    </row>
    <row r="1138" spans="1:34" ht="49.5" customHeight="1">
      <c r="A1138" s="570"/>
      <c r="B1138" s="606"/>
      <c r="C1138" s="337"/>
      <c r="D1138" s="141" t="s">
        <v>1844</v>
      </c>
      <c r="E1138" s="142"/>
      <c r="F1138" s="143"/>
      <c r="G1138" s="142"/>
      <c r="H1138" s="417">
        <v>3220</v>
      </c>
      <c r="I1138" s="307">
        <v>1500000</v>
      </c>
      <c r="J1138" s="169"/>
      <c r="K1138" s="169"/>
      <c r="L1138" s="471">
        <v>1500000</v>
      </c>
      <c r="M1138" s="144"/>
      <c r="N1138" s="407"/>
      <c r="O1138" s="407"/>
      <c r="P1138" s="407"/>
      <c r="Q1138" s="407">
        <v>500000</v>
      </c>
      <c r="R1138" s="407">
        <v>500000</v>
      </c>
      <c r="S1138" s="407">
        <v>500000</v>
      </c>
      <c r="T1138" s="407"/>
      <c r="U1138" s="407"/>
      <c r="V1138" s="407"/>
      <c r="W1138" s="407"/>
      <c r="X1138" s="407"/>
      <c r="Y1138" s="407"/>
      <c r="Z1138" s="407">
        <f>1000000+500000</f>
        <v>1500000</v>
      </c>
      <c r="AA1138" s="407">
        <f t="shared" si="151"/>
        <v>0</v>
      </c>
      <c r="AC1138" s="499"/>
      <c r="AD1138" s="512"/>
      <c r="AE1138" s="512"/>
      <c r="AF1138" s="512"/>
      <c r="AG1138" s="507"/>
      <c r="AH1138" s="507"/>
    </row>
    <row r="1139" spans="1:34" s="30" customFormat="1" ht="110.25" customHeight="1">
      <c r="A1139" s="587" t="s">
        <v>150</v>
      </c>
      <c r="B1139" s="605" t="s">
        <v>1255</v>
      </c>
      <c r="C1139" s="337"/>
      <c r="D1139" s="141" t="s">
        <v>644</v>
      </c>
      <c r="E1139" s="142"/>
      <c r="F1139" s="143"/>
      <c r="G1139" s="142"/>
      <c r="H1139" s="417">
        <v>3220</v>
      </c>
      <c r="I1139" s="307">
        <v>200000</v>
      </c>
      <c r="J1139" s="169"/>
      <c r="K1139" s="169"/>
      <c r="L1139" s="475">
        <v>200000</v>
      </c>
      <c r="M1139" s="169"/>
      <c r="N1139" s="439"/>
      <c r="O1139" s="439"/>
      <c r="P1139" s="439"/>
      <c r="Q1139" s="439"/>
      <c r="R1139" s="439"/>
      <c r="S1139" s="439">
        <v>200000</v>
      </c>
      <c r="T1139" s="439"/>
      <c r="U1139" s="439"/>
      <c r="V1139" s="439"/>
      <c r="W1139" s="439"/>
      <c r="X1139" s="439"/>
      <c r="Y1139" s="439"/>
      <c r="Z1139" s="439"/>
      <c r="AA1139" s="407">
        <f t="shared" si="151"/>
        <v>200000</v>
      </c>
      <c r="AC1139" s="59"/>
      <c r="AD1139" s="514"/>
      <c r="AE1139" s="514"/>
      <c r="AF1139" s="514"/>
      <c r="AG1139" s="509"/>
      <c r="AH1139" s="509"/>
    </row>
    <row r="1140" spans="1:34" s="30" customFormat="1" ht="110.25" customHeight="1">
      <c r="A1140" s="588"/>
      <c r="B1140" s="607"/>
      <c r="C1140" s="337"/>
      <c r="D1140" s="141" t="s">
        <v>218</v>
      </c>
      <c r="E1140" s="142"/>
      <c r="F1140" s="143"/>
      <c r="G1140" s="142"/>
      <c r="H1140" s="417">
        <v>3220</v>
      </c>
      <c r="I1140" s="307">
        <v>114000</v>
      </c>
      <c r="J1140" s="169"/>
      <c r="K1140" s="169"/>
      <c r="L1140" s="475"/>
      <c r="M1140" s="169"/>
      <c r="N1140" s="439"/>
      <c r="O1140" s="439"/>
      <c r="P1140" s="439"/>
      <c r="Q1140" s="439"/>
      <c r="R1140" s="439"/>
      <c r="S1140" s="439"/>
      <c r="T1140" s="439"/>
      <c r="U1140" s="439"/>
      <c r="V1140" s="439"/>
      <c r="W1140" s="439"/>
      <c r="X1140" s="439">
        <v>114000</v>
      </c>
      <c r="Y1140" s="439"/>
      <c r="Z1140" s="439"/>
      <c r="AA1140" s="407">
        <f t="shared" si="151"/>
        <v>114000</v>
      </c>
      <c r="AC1140" s="59"/>
      <c r="AD1140" s="514"/>
      <c r="AE1140" s="514"/>
      <c r="AF1140" s="514"/>
      <c r="AG1140" s="509"/>
      <c r="AH1140" s="509"/>
    </row>
    <row r="1141" spans="1:34" s="30" customFormat="1" ht="15.75" hidden="1">
      <c r="A1141" s="570"/>
      <c r="B1141" s="606"/>
      <c r="C1141" s="337"/>
      <c r="D1141" s="141" t="s">
        <v>434</v>
      </c>
      <c r="E1141" s="142"/>
      <c r="F1141" s="143"/>
      <c r="G1141" s="142"/>
      <c r="H1141" s="417">
        <v>3220</v>
      </c>
      <c r="I1141" s="307">
        <f>1678374.39-1678374.39</f>
        <v>0</v>
      </c>
      <c r="J1141" s="169"/>
      <c r="K1141" s="169"/>
      <c r="L1141" s="475"/>
      <c r="M1141" s="169"/>
      <c r="N1141" s="439"/>
      <c r="O1141" s="439"/>
      <c r="P1141" s="439"/>
      <c r="Q1141" s="439"/>
      <c r="R1141" s="439"/>
      <c r="S1141" s="439"/>
      <c r="T1141" s="439"/>
      <c r="U1141" s="407">
        <v>881807</v>
      </c>
      <c r="V1141" s="407">
        <f>243567.39+553000-1678374.39</f>
        <v>-881807</v>
      </c>
      <c r="W1141" s="407">
        <f>283000-283000</f>
        <v>0</v>
      </c>
      <c r="X1141" s="407">
        <f>70000-70000</f>
        <v>0</v>
      </c>
      <c r="Y1141" s="407">
        <f>200000-200000</f>
        <v>0</v>
      </c>
      <c r="Z1141" s="439"/>
      <c r="AA1141" s="407">
        <f t="shared" si="151"/>
        <v>0</v>
      </c>
      <c r="AC1141" s="59"/>
      <c r="AD1141" s="514"/>
      <c r="AE1141" s="514"/>
      <c r="AF1141" s="514"/>
      <c r="AG1141" s="509"/>
      <c r="AH1141" s="509"/>
    </row>
    <row r="1142" spans="1:34" s="30" customFormat="1" ht="15.75" hidden="1">
      <c r="A1142" s="587" t="s">
        <v>1449</v>
      </c>
      <c r="B1142" s="605" t="s">
        <v>1256</v>
      </c>
      <c r="C1142" s="337"/>
      <c r="D1142" s="136" t="s">
        <v>1456</v>
      </c>
      <c r="E1142" s="137"/>
      <c r="F1142" s="138"/>
      <c r="G1142" s="137"/>
      <c r="H1142" s="416"/>
      <c r="I1142" s="304">
        <f>I1143</f>
        <v>0</v>
      </c>
      <c r="J1142" s="304">
        <f aca="true" t="shared" si="152" ref="J1142:Z1142">J1143</f>
        <v>0</v>
      </c>
      <c r="K1142" s="304">
        <f t="shared" si="152"/>
        <v>0</v>
      </c>
      <c r="L1142" s="304">
        <f t="shared" si="152"/>
        <v>0</v>
      </c>
      <c r="M1142" s="304">
        <f t="shared" si="152"/>
        <v>0</v>
      </c>
      <c r="N1142" s="304">
        <f t="shared" si="152"/>
        <v>0</v>
      </c>
      <c r="O1142" s="304">
        <f t="shared" si="152"/>
        <v>0</v>
      </c>
      <c r="P1142" s="304">
        <f t="shared" si="152"/>
        <v>0</v>
      </c>
      <c r="Q1142" s="304">
        <f t="shared" si="152"/>
        <v>0</v>
      </c>
      <c r="R1142" s="304">
        <f t="shared" si="152"/>
        <v>0</v>
      </c>
      <c r="S1142" s="304">
        <f t="shared" si="152"/>
        <v>0</v>
      </c>
      <c r="T1142" s="304">
        <f t="shared" si="152"/>
        <v>0</v>
      </c>
      <c r="U1142" s="304">
        <f t="shared" si="152"/>
        <v>0</v>
      </c>
      <c r="V1142" s="304">
        <f t="shared" si="152"/>
        <v>114000</v>
      </c>
      <c r="W1142" s="304">
        <f t="shared" si="152"/>
        <v>0</v>
      </c>
      <c r="X1142" s="304">
        <f t="shared" si="152"/>
        <v>-114000</v>
      </c>
      <c r="Y1142" s="304">
        <f t="shared" si="152"/>
        <v>0</v>
      </c>
      <c r="Z1142" s="304">
        <f t="shared" si="152"/>
        <v>0</v>
      </c>
      <c r="AA1142" s="407">
        <f t="shared" si="151"/>
        <v>0</v>
      </c>
      <c r="AC1142" s="59"/>
      <c r="AD1142" s="514"/>
      <c r="AE1142" s="514"/>
      <c r="AF1142" s="514"/>
      <c r="AG1142" s="509"/>
      <c r="AH1142" s="509"/>
    </row>
    <row r="1143" spans="1:34" s="30" customFormat="1" ht="15.75" hidden="1">
      <c r="A1143" s="570"/>
      <c r="B1143" s="606"/>
      <c r="C1143" s="337"/>
      <c r="D1143" s="196" t="s">
        <v>434</v>
      </c>
      <c r="E1143" s="172"/>
      <c r="F1143" s="229"/>
      <c r="G1143" s="172"/>
      <c r="H1143" s="420">
        <v>3110</v>
      </c>
      <c r="I1143" s="322">
        <f>114000-114000</f>
        <v>0</v>
      </c>
      <c r="J1143" s="169"/>
      <c r="K1143" s="169"/>
      <c r="L1143" s="475"/>
      <c r="M1143" s="169"/>
      <c r="N1143" s="439"/>
      <c r="O1143" s="439"/>
      <c r="P1143" s="439"/>
      <c r="Q1143" s="439"/>
      <c r="R1143" s="439"/>
      <c r="S1143" s="439"/>
      <c r="T1143" s="439"/>
      <c r="U1143" s="439"/>
      <c r="V1143" s="439">
        <f>114000</f>
        <v>114000</v>
      </c>
      <c r="W1143" s="439"/>
      <c r="X1143" s="439">
        <v>-114000</v>
      </c>
      <c r="Y1143" s="439"/>
      <c r="Z1143" s="439"/>
      <c r="AA1143" s="407">
        <f t="shared" si="151"/>
        <v>0</v>
      </c>
      <c r="AC1143" s="59"/>
      <c r="AD1143" s="514"/>
      <c r="AE1143" s="514"/>
      <c r="AF1143" s="514"/>
      <c r="AG1143" s="509"/>
      <c r="AH1143" s="509"/>
    </row>
    <row r="1144" spans="1:34" ht="12" customHeight="1">
      <c r="A1144" s="289"/>
      <c r="B1144" s="337"/>
      <c r="C1144" s="266"/>
      <c r="D1144" s="269"/>
      <c r="E1144" s="292"/>
      <c r="F1144" s="335"/>
      <c r="G1144" s="292"/>
      <c r="H1144" s="427"/>
      <c r="I1144" s="307"/>
      <c r="J1144" s="307"/>
      <c r="K1144" s="307"/>
      <c r="L1144" s="307"/>
      <c r="M1144" s="307"/>
      <c r="N1144" s="407"/>
      <c r="O1144" s="407"/>
      <c r="P1144" s="407"/>
      <c r="Q1144" s="407"/>
      <c r="R1144" s="407"/>
      <c r="S1144" s="407"/>
      <c r="T1144" s="407"/>
      <c r="U1144" s="407"/>
      <c r="V1144" s="407"/>
      <c r="W1144" s="407"/>
      <c r="X1144" s="407"/>
      <c r="Y1144" s="407"/>
      <c r="Z1144" s="407"/>
      <c r="AA1144" s="407">
        <f t="shared" si="151"/>
        <v>0</v>
      </c>
      <c r="AC1144" s="499"/>
      <c r="AD1144" s="512"/>
      <c r="AE1144" s="507"/>
      <c r="AF1144" s="507"/>
      <c r="AG1144" s="507"/>
      <c r="AH1144" s="507"/>
    </row>
    <row r="1145" spans="1:34" ht="15.75">
      <c r="A1145" s="297">
        <v>73</v>
      </c>
      <c r="B1145" s="584" t="s">
        <v>922</v>
      </c>
      <c r="C1145" s="584"/>
      <c r="D1145" s="584"/>
      <c r="E1145" s="340"/>
      <c r="F1145" s="341"/>
      <c r="G1145" s="340"/>
      <c r="H1145" s="432"/>
      <c r="I1145" s="299">
        <f>I1162+I1170+I1168</f>
        <v>3728500</v>
      </c>
      <c r="J1145" s="299">
        <f aca="true" t="shared" si="153" ref="J1145:Z1145">J1162+J1170+J1168</f>
        <v>0</v>
      </c>
      <c r="K1145" s="299">
        <f t="shared" si="153"/>
        <v>0</v>
      </c>
      <c r="L1145" s="299">
        <f t="shared" si="153"/>
        <v>0</v>
      </c>
      <c r="M1145" s="299">
        <f t="shared" si="153"/>
        <v>3702000</v>
      </c>
      <c r="N1145" s="299">
        <f t="shared" si="153"/>
        <v>0</v>
      </c>
      <c r="O1145" s="299">
        <f t="shared" si="153"/>
        <v>0</v>
      </c>
      <c r="P1145" s="299">
        <f t="shared" si="153"/>
        <v>0</v>
      </c>
      <c r="Q1145" s="299">
        <f t="shared" si="153"/>
        <v>0</v>
      </c>
      <c r="R1145" s="299">
        <f t="shared" si="153"/>
        <v>0</v>
      </c>
      <c r="S1145" s="299">
        <f t="shared" si="153"/>
        <v>0</v>
      </c>
      <c r="T1145" s="299">
        <f t="shared" si="153"/>
        <v>0</v>
      </c>
      <c r="U1145" s="299">
        <f t="shared" si="153"/>
        <v>292000</v>
      </c>
      <c r="V1145" s="299">
        <f t="shared" si="153"/>
        <v>80000</v>
      </c>
      <c r="W1145" s="299">
        <f t="shared" si="153"/>
        <v>330000</v>
      </c>
      <c r="X1145" s="299">
        <f t="shared" si="153"/>
        <v>296500</v>
      </c>
      <c r="Y1145" s="299">
        <f t="shared" si="153"/>
        <v>2730000</v>
      </c>
      <c r="Z1145" s="299">
        <f t="shared" si="153"/>
        <v>16129</v>
      </c>
      <c r="AA1145" s="407">
        <f t="shared" si="151"/>
        <v>982371</v>
      </c>
      <c r="AC1145" s="499"/>
      <c r="AD1145" s="512"/>
      <c r="AE1145" s="507"/>
      <c r="AF1145" s="507"/>
      <c r="AG1145" s="507"/>
      <c r="AH1145" s="507"/>
    </row>
    <row r="1146" spans="1:34" ht="19.5" customHeight="1" hidden="1">
      <c r="A1146" s="581" t="s">
        <v>1756</v>
      </c>
      <c r="B1146" s="605" t="s">
        <v>1458</v>
      </c>
      <c r="C1146" s="195"/>
      <c r="D1146" s="136" t="s">
        <v>1456</v>
      </c>
      <c r="E1146" s="137"/>
      <c r="F1146" s="138"/>
      <c r="G1146" s="137"/>
      <c r="H1146" s="416"/>
      <c r="I1146" s="139" t="e">
        <f>J1146+K1146+L1146+M1146+#REF!+#REF!</f>
        <v>#REF!</v>
      </c>
      <c r="J1146" s="139">
        <f>SUM(J1147:J1161)</f>
        <v>0</v>
      </c>
      <c r="K1146" s="139">
        <f>SUM(K1147:K1161)</f>
        <v>0</v>
      </c>
      <c r="L1146" s="139">
        <f>SUM(L1147:L1161)</f>
        <v>0</v>
      </c>
      <c r="M1146" s="139">
        <f>SUM(M1147:M1161)</f>
        <v>0</v>
      </c>
      <c r="N1146" s="407"/>
      <c r="O1146" s="407"/>
      <c r="P1146" s="407"/>
      <c r="Q1146" s="407"/>
      <c r="R1146" s="407"/>
      <c r="S1146" s="407"/>
      <c r="T1146" s="407"/>
      <c r="U1146" s="407"/>
      <c r="V1146" s="407"/>
      <c r="W1146" s="407"/>
      <c r="X1146" s="407"/>
      <c r="Y1146" s="407"/>
      <c r="Z1146" s="407"/>
      <c r="AA1146" s="407">
        <f t="shared" si="151"/>
        <v>0</v>
      </c>
      <c r="AC1146" s="499"/>
      <c r="AD1146" s="512"/>
      <c r="AE1146" s="507"/>
      <c r="AF1146" s="507"/>
      <c r="AG1146" s="507"/>
      <c r="AH1146" s="507"/>
    </row>
    <row r="1147" spans="1:34" ht="15.75" hidden="1">
      <c r="A1147" s="582"/>
      <c r="B1147" s="607"/>
      <c r="C1147" s="135" t="s">
        <v>923</v>
      </c>
      <c r="D1147" s="141"/>
      <c r="E1147" s="172"/>
      <c r="F1147" s="229"/>
      <c r="G1147" s="172"/>
      <c r="H1147" s="420"/>
      <c r="I1147" s="144" t="e">
        <f>J1147+K1147+L1147+M1147+#REF!+#REF!</f>
        <v>#REF!</v>
      </c>
      <c r="J1147" s="144"/>
      <c r="K1147" s="144"/>
      <c r="L1147" s="144"/>
      <c r="M1147" s="144"/>
      <c r="N1147" s="407"/>
      <c r="O1147" s="407"/>
      <c r="P1147" s="407"/>
      <c r="Q1147" s="407"/>
      <c r="R1147" s="407"/>
      <c r="S1147" s="407"/>
      <c r="T1147" s="407"/>
      <c r="U1147" s="407"/>
      <c r="V1147" s="407"/>
      <c r="W1147" s="407"/>
      <c r="X1147" s="407"/>
      <c r="Y1147" s="407"/>
      <c r="Z1147" s="407"/>
      <c r="AA1147" s="407">
        <f t="shared" si="151"/>
        <v>0</v>
      </c>
      <c r="AC1147" s="499"/>
      <c r="AD1147" s="512"/>
      <c r="AE1147" s="507"/>
      <c r="AF1147" s="507"/>
      <c r="AG1147" s="507"/>
      <c r="AH1147" s="507"/>
    </row>
    <row r="1148" spans="1:34" ht="15.75" hidden="1">
      <c r="A1148" s="582"/>
      <c r="B1148" s="607"/>
      <c r="C1148" s="135"/>
      <c r="D1148" s="141"/>
      <c r="E1148" s="172"/>
      <c r="F1148" s="229"/>
      <c r="G1148" s="172"/>
      <c r="H1148" s="420"/>
      <c r="I1148" s="144" t="e">
        <f>J1148+K1148+L1148+M1148+#REF!+#REF!</f>
        <v>#REF!</v>
      </c>
      <c r="J1148" s="144"/>
      <c r="K1148" s="144"/>
      <c r="L1148" s="144"/>
      <c r="M1148" s="144"/>
      <c r="N1148" s="407"/>
      <c r="O1148" s="407"/>
      <c r="P1148" s="407"/>
      <c r="Q1148" s="407"/>
      <c r="R1148" s="407"/>
      <c r="S1148" s="407"/>
      <c r="T1148" s="407"/>
      <c r="U1148" s="407"/>
      <c r="V1148" s="407"/>
      <c r="W1148" s="407"/>
      <c r="X1148" s="407"/>
      <c r="Y1148" s="407"/>
      <c r="Z1148" s="407"/>
      <c r="AA1148" s="407">
        <f t="shared" si="151"/>
        <v>0</v>
      </c>
      <c r="AC1148" s="499"/>
      <c r="AD1148" s="512"/>
      <c r="AE1148" s="507"/>
      <c r="AF1148" s="507"/>
      <c r="AG1148" s="507"/>
      <c r="AH1148" s="507"/>
    </row>
    <row r="1149" spans="1:34" ht="15.75" hidden="1">
      <c r="A1149" s="582"/>
      <c r="B1149" s="607"/>
      <c r="C1149" s="135"/>
      <c r="D1149" s="141"/>
      <c r="E1149" s="172"/>
      <c r="F1149" s="229"/>
      <c r="G1149" s="172"/>
      <c r="H1149" s="420"/>
      <c r="I1149" s="144" t="e">
        <f>J1149+K1149+L1149+M1149+#REF!+#REF!</f>
        <v>#REF!</v>
      </c>
      <c r="J1149" s="144"/>
      <c r="K1149" s="144"/>
      <c r="L1149" s="144"/>
      <c r="M1149" s="144"/>
      <c r="N1149" s="407"/>
      <c r="O1149" s="407"/>
      <c r="P1149" s="407"/>
      <c r="Q1149" s="407"/>
      <c r="R1149" s="407"/>
      <c r="S1149" s="407"/>
      <c r="T1149" s="407"/>
      <c r="U1149" s="407"/>
      <c r="V1149" s="407"/>
      <c r="W1149" s="407"/>
      <c r="X1149" s="407"/>
      <c r="Y1149" s="407"/>
      <c r="Z1149" s="407"/>
      <c r="AA1149" s="407">
        <f t="shared" si="151"/>
        <v>0</v>
      </c>
      <c r="AC1149" s="499"/>
      <c r="AD1149" s="512"/>
      <c r="AE1149" s="507"/>
      <c r="AF1149" s="507"/>
      <c r="AG1149" s="507"/>
      <c r="AH1149" s="507"/>
    </row>
    <row r="1150" spans="1:34" ht="15.75" hidden="1">
      <c r="A1150" s="582"/>
      <c r="B1150" s="607"/>
      <c r="C1150" s="135"/>
      <c r="D1150" s="141"/>
      <c r="E1150" s="172"/>
      <c r="F1150" s="229"/>
      <c r="G1150" s="172"/>
      <c r="H1150" s="420"/>
      <c r="I1150" s="144" t="e">
        <f>J1150+K1150+L1150+M1150+#REF!+#REF!</f>
        <v>#REF!</v>
      </c>
      <c r="J1150" s="144"/>
      <c r="K1150" s="144"/>
      <c r="L1150" s="144"/>
      <c r="M1150" s="144"/>
      <c r="N1150" s="407"/>
      <c r="O1150" s="407"/>
      <c r="P1150" s="407"/>
      <c r="Q1150" s="407"/>
      <c r="R1150" s="407"/>
      <c r="S1150" s="407"/>
      <c r="T1150" s="407"/>
      <c r="U1150" s="407"/>
      <c r="V1150" s="407"/>
      <c r="W1150" s="407"/>
      <c r="X1150" s="407"/>
      <c r="Y1150" s="407"/>
      <c r="Z1150" s="407"/>
      <c r="AA1150" s="407">
        <f t="shared" si="151"/>
        <v>0</v>
      </c>
      <c r="AC1150" s="499"/>
      <c r="AD1150" s="512"/>
      <c r="AE1150" s="507"/>
      <c r="AF1150" s="507"/>
      <c r="AG1150" s="507"/>
      <c r="AH1150" s="507"/>
    </row>
    <row r="1151" spans="1:34" ht="15.75" hidden="1">
      <c r="A1151" s="582"/>
      <c r="B1151" s="607"/>
      <c r="C1151" s="135"/>
      <c r="D1151" s="141"/>
      <c r="E1151" s="172"/>
      <c r="F1151" s="229"/>
      <c r="G1151" s="172"/>
      <c r="H1151" s="420"/>
      <c r="I1151" s="144" t="e">
        <f>J1151+K1151+L1151+M1151+#REF!+#REF!</f>
        <v>#REF!</v>
      </c>
      <c r="J1151" s="144"/>
      <c r="K1151" s="144"/>
      <c r="L1151" s="144"/>
      <c r="M1151" s="144"/>
      <c r="N1151" s="407"/>
      <c r="O1151" s="407"/>
      <c r="P1151" s="407"/>
      <c r="Q1151" s="407"/>
      <c r="R1151" s="407"/>
      <c r="S1151" s="407"/>
      <c r="T1151" s="407"/>
      <c r="U1151" s="407"/>
      <c r="V1151" s="407"/>
      <c r="W1151" s="407"/>
      <c r="X1151" s="407"/>
      <c r="Y1151" s="407"/>
      <c r="Z1151" s="407"/>
      <c r="AA1151" s="407">
        <f t="shared" si="151"/>
        <v>0</v>
      </c>
      <c r="AC1151" s="499"/>
      <c r="AD1151" s="512"/>
      <c r="AE1151" s="507"/>
      <c r="AF1151" s="507"/>
      <c r="AG1151" s="507"/>
      <c r="AH1151" s="507"/>
    </row>
    <row r="1152" spans="1:34" ht="15.75" hidden="1">
      <c r="A1152" s="582"/>
      <c r="B1152" s="607"/>
      <c r="C1152" s="135"/>
      <c r="D1152" s="141"/>
      <c r="E1152" s="172"/>
      <c r="F1152" s="229"/>
      <c r="G1152" s="172"/>
      <c r="H1152" s="420"/>
      <c r="I1152" s="144"/>
      <c r="J1152" s="144"/>
      <c r="K1152" s="144"/>
      <c r="L1152" s="144"/>
      <c r="M1152" s="144"/>
      <c r="N1152" s="407"/>
      <c r="O1152" s="407"/>
      <c r="P1152" s="407"/>
      <c r="Q1152" s="407"/>
      <c r="R1152" s="407"/>
      <c r="S1152" s="407"/>
      <c r="T1152" s="407"/>
      <c r="U1152" s="407"/>
      <c r="V1152" s="407"/>
      <c r="W1152" s="407"/>
      <c r="X1152" s="407"/>
      <c r="Y1152" s="407"/>
      <c r="Z1152" s="407"/>
      <c r="AA1152" s="407">
        <f t="shared" si="151"/>
        <v>0</v>
      </c>
      <c r="AC1152" s="499"/>
      <c r="AD1152" s="512"/>
      <c r="AE1152" s="507"/>
      <c r="AF1152" s="507"/>
      <c r="AG1152" s="507"/>
      <c r="AH1152" s="507"/>
    </row>
    <row r="1153" spans="1:34" ht="15.75" hidden="1">
      <c r="A1153" s="582"/>
      <c r="B1153" s="607"/>
      <c r="C1153" s="135"/>
      <c r="D1153" s="141"/>
      <c r="E1153" s="172"/>
      <c r="F1153" s="229"/>
      <c r="G1153" s="172"/>
      <c r="H1153" s="420"/>
      <c r="I1153" s="144"/>
      <c r="J1153" s="144"/>
      <c r="K1153" s="144"/>
      <c r="L1153" s="144"/>
      <c r="M1153" s="144"/>
      <c r="N1153" s="407"/>
      <c r="O1153" s="407"/>
      <c r="P1153" s="407"/>
      <c r="Q1153" s="407"/>
      <c r="R1153" s="407"/>
      <c r="S1153" s="407"/>
      <c r="T1153" s="407"/>
      <c r="U1153" s="407"/>
      <c r="V1153" s="407"/>
      <c r="W1153" s="407"/>
      <c r="X1153" s="407"/>
      <c r="Y1153" s="407"/>
      <c r="Z1153" s="407"/>
      <c r="AA1153" s="407">
        <f t="shared" si="151"/>
        <v>0</v>
      </c>
      <c r="AC1153" s="499"/>
      <c r="AD1153" s="512"/>
      <c r="AE1153" s="507"/>
      <c r="AF1153" s="507"/>
      <c r="AG1153" s="507"/>
      <c r="AH1153" s="507"/>
    </row>
    <row r="1154" spans="1:34" ht="15.75" hidden="1">
      <c r="A1154" s="582"/>
      <c r="B1154" s="607"/>
      <c r="C1154" s="135"/>
      <c r="D1154" s="141"/>
      <c r="E1154" s="172"/>
      <c r="F1154" s="229"/>
      <c r="G1154" s="172"/>
      <c r="H1154" s="420"/>
      <c r="I1154" s="144"/>
      <c r="J1154" s="144"/>
      <c r="K1154" s="144"/>
      <c r="L1154" s="144"/>
      <c r="M1154" s="144"/>
      <c r="N1154" s="407"/>
      <c r="O1154" s="407"/>
      <c r="P1154" s="407"/>
      <c r="Q1154" s="407"/>
      <c r="R1154" s="407"/>
      <c r="S1154" s="407"/>
      <c r="T1154" s="407"/>
      <c r="U1154" s="407"/>
      <c r="V1154" s="407"/>
      <c r="W1154" s="407"/>
      <c r="X1154" s="407"/>
      <c r="Y1154" s="407"/>
      <c r="Z1154" s="407"/>
      <c r="AA1154" s="407">
        <f t="shared" si="151"/>
        <v>0</v>
      </c>
      <c r="AC1154" s="499"/>
      <c r="AD1154" s="512"/>
      <c r="AE1154" s="507"/>
      <c r="AF1154" s="507"/>
      <c r="AG1154" s="507"/>
      <c r="AH1154" s="507"/>
    </row>
    <row r="1155" spans="1:34" ht="15.75" hidden="1">
      <c r="A1155" s="582"/>
      <c r="B1155" s="607"/>
      <c r="C1155" s="135"/>
      <c r="D1155" s="141"/>
      <c r="E1155" s="172"/>
      <c r="F1155" s="229"/>
      <c r="G1155" s="172"/>
      <c r="H1155" s="420"/>
      <c r="I1155" s="144"/>
      <c r="J1155" s="144"/>
      <c r="K1155" s="144"/>
      <c r="L1155" s="144"/>
      <c r="M1155" s="144"/>
      <c r="N1155" s="407"/>
      <c r="O1155" s="407"/>
      <c r="P1155" s="407"/>
      <c r="Q1155" s="407"/>
      <c r="R1155" s="407"/>
      <c r="S1155" s="407"/>
      <c r="T1155" s="407"/>
      <c r="U1155" s="407"/>
      <c r="V1155" s="407"/>
      <c r="W1155" s="407"/>
      <c r="X1155" s="407"/>
      <c r="Y1155" s="407"/>
      <c r="Z1155" s="407"/>
      <c r="AA1155" s="407">
        <f t="shared" si="151"/>
        <v>0</v>
      </c>
      <c r="AC1155" s="499"/>
      <c r="AD1155" s="512"/>
      <c r="AE1155" s="507"/>
      <c r="AF1155" s="507"/>
      <c r="AG1155" s="507"/>
      <c r="AH1155" s="507"/>
    </row>
    <row r="1156" spans="1:34" ht="15.75" hidden="1">
      <c r="A1156" s="582"/>
      <c r="B1156" s="607"/>
      <c r="C1156" s="135"/>
      <c r="D1156" s="141"/>
      <c r="E1156" s="172"/>
      <c r="F1156" s="229"/>
      <c r="G1156" s="172"/>
      <c r="H1156" s="420"/>
      <c r="I1156" s="144"/>
      <c r="J1156" s="144"/>
      <c r="K1156" s="144"/>
      <c r="L1156" s="144"/>
      <c r="M1156" s="144"/>
      <c r="N1156" s="407"/>
      <c r="O1156" s="407"/>
      <c r="P1156" s="407"/>
      <c r="Q1156" s="407"/>
      <c r="R1156" s="407"/>
      <c r="S1156" s="407"/>
      <c r="T1156" s="407"/>
      <c r="U1156" s="407"/>
      <c r="V1156" s="407"/>
      <c r="W1156" s="407"/>
      <c r="X1156" s="407"/>
      <c r="Y1156" s="407"/>
      <c r="Z1156" s="407"/>
      <c r="AA1156" s="407">
        <f t="shared" si="151"/>
        <v>0</v>
      </c>
      <c r="AC1156" s="499"/>
      <c r="AD1156" s="512"/>
      <c r="AE1156" s="507"/>
      <c r="AF1156" s="507"/>
      <c r="AG1156" s="507"/>
      <c r="AH1156" s="507"/>
    </row>
    <row r="1157" spans="1:34" ht="15.75" hidden="1">
      <c r="A1157" s="582"/>
      <c r="B1157" s="607"/>
      <c r="C1157" s="135"/>
      <c r="D1157" s="141"/>
      <c r="E1157" s="172"/>
      <c r="F1157" s="229"/>
      <c r="G1157" s="172"/>
      <c r="H1157" s="420"/>
      <c r="I1157" s="144"/>
      <c r="J1157" s="144"/>
      <c r="K1157" s="144"/>
      <c r="L1157" s="144"/>
      <c r="M1157" s="144"/>
      <c r="N1157" s="407"/>
      <c r="O1157" s="407"/>
      <c r="P1157" s="407"/>
      <c r="Q1157" s="407"/>
      <c r="R1157" s="407"/>
      <c r="S1157" s="407"/>
      <c r="T1157" s="407"/>
      <c r="U1157" s="407"/>
      <c r="V1157" s="407"/>
      <c r="W1157" s="407"/>
      <c r="X1157" s="407"/>
      <c r="Y1157" s="407"/>
      <c r="Z1157" s="407"/>
      <c r="AA1157" s="407">
        <f t="shared" si="151"/>
        <v>0</v>
      </c>
      <c r="AC1157" s="499"/>
      <c r="AD1157" s="512"/>
      <c r="AE1157" s="507"/>
      <c r="AF1157" s="507"/>
      <c r="AG1157" s="507"/>
      <c r="AH1157" s="507"/>
    </row>
    <row r="1158" spans="1:34" ht="15.75" hidden="1">
      <c r="A1158" s="582"/>
      <c r="B1158" s="607"/>
      <c r="C1158" s="135"/>
      <c r="D1158" s="141"/>
      <c r="E1158" s="172"/>
      <c r="F1158" s="229"/>
      <c r="G1158" s="172"/>
      <c r="H1158" s="420"/>
      <c r="I1158" s="144"/>
      <c r="J1158" s="144"/>
      <c r="K1158" s="144"/>
      <c r="L1158" s="144"/>
      <c r="M1158" s="144"/>
      <c r="N1158" s="407"/>
      <c r="O1158" s="407"/>
      <c r="P1158" s="407"/>
      <c r="Q1158" s="407"/>
      <c r="R1158" s="407"/>
      <c r="S1158" s="407"/>
      <c r="T1158" s="407"/>
      <c r="U1158" s="407"/>
      <c r="V1158" s="407"/>
      <c r="W1158" s="407"/>
      <c r="X1158" s="407"/>
      <c r="Y1158" s="407"/>
      <c r="Z1158" s="407"/>
      <c r="AA1158" s="407">
        <f t="shared" si="151"/>
        <v>0</v>
      </c>
      <c r="AC1158" s="499"/>
      <c r="AD1158" s="512"/>
      <c r="AE1158" s="507"/>
      <c r="AF1158" s="507"/>
      <c r="AG1158" s="507"/>
      <c r="AH1158" s="507"/>
    </row>
    <row r="1159" spans="1:34" ht="15.75" hidden="1">
      <c r="A1159" s="582"/>
      <c r="B1159" s="607"/>
      <c r="C1159" s="135"/>
      <c r="D1159" s="141"/>
      <c r="E1159" s="172"/>
      <c r="F1159" s="229"/>
      <c r="G1159" s="172"/>
      <c r="H1159" s="420"/>
      <c r="I1159" s="144"/>
      <c r="J1159" s="144"/>
      <c r="K1159" s="144"/>
      <c r="L1159" s="144"/>
      <c r="M1159" s="144"/>
      <c r="N1159" s="407"/>
      <c r="O1159" s="407"/>
      <c r="P1159" s="407"/>
      <c r="Q1159" s="407"/>
      <c r="R1159" s="407"/>
      <c r="S1159" s="407"/>
      <c r="T1159" s="407"/>
      <c r="U1159" s="407"/>
      <c r="V1159" s="407"/>
      <c r="W1159" s="407"/>
      <c r="X1159" s="407"/>
      <c r="Y1159" s="407"/>
      <c r="Z1159" s="407"/>
      <c r="AA1159" s="407">
        <f t="shared" si="151"/>
        <v>0</v>
      </c>
      <c r="AC1159" s="499"/>
      <c r="AD1159" s="512"/>
      <c r="AE1159" s="507"/>
      <c r="AF1159" s="507"/>
      <c r="AG1159" s="507"/>
      <c r="AH1159" s="507"/>
    </row>
    <row r="1160" spans="1:34" ht="15.75" hidden="1">
      <c r="A1160" s="582"/>
      <c r="B1160" s="607"/>
      <c r="C1160" s="135" t="s">
        <v>854</v>
      </c>
      <c r="D1160" s="141"/>
      <c r="E1160" s="172"/>
      <c r="F1160" s="229"/>
      <c r="G1160" s="172"/>
      <c r="H1160" s="420"/>
      <c r="I1160" s="144" t="e">
        <f>J1160+K1160+L1160+M1160+#REF!+#REF!</f>
        <v>#REF!</v>
      </c>
      <c r="J1160" s="144"/>
      <c r="K1160" s="144"/>
      <c r="L1160" s="144"/>
      <c r="M1160" s="144"/>
      <c r="N1160" s="407"/>
      <c r="O1160" s="407"/>
      <c r="P1160" s="407"/>
      <c r="Q1160" s="407"/>
      <c r="R1160" s="407"/>
      <c r="S1160" s="407"/>
      <c r="T1160" s="407"/>
      <c r="U1160" s="407"/>
      <c r="V1160" s="407"/>
      <c r="W1160" s="407"/>
      <c r="X1160" s="407"/>
      <c r="Y1160" s="407"/>
      <c r="Z1160" s="407"/>
      <c r="AA1160" s="407">
        <f t="shared" si="151"/>
        <v>0</v>
      </c>
      <c r="AC1160" s="499"/>
      <c r="AD1160" s="512"/>
      <c r="AE1160" s="507"/>
      <c r="AF1160" s="507"/>
      <c r="AG1160" s="507"/>
      <c r="AH1160" s="507"/>
    </row>
    <row r="1161" spans="1:34" ht="15.75" hidden="1">
      <c r="A1161" s="583"/>
      <c r="B1161" s="606"/>
      <c r="C1161" s="135" t="s">
        <v>1197</v>
      </c>
      <c r="D1161" s="141"/>
      <c r="E1161" s="172"/>
      <c r="F1161" s="229"/>
      <c r="G1161" s="172"/>
      <c r="H1161" s="420"/>
      <c r="I1161" s="144" t="e">
        <f>J1161+K1161+L1161+M1161+#REF!+#REF!</f>
        <v>#REF!</v>
      </c>
      <c r="J1161" s="144"/>
      <c r="K1161" s="144"/>
      <c r="L1161" s="144"/>
      <c r="M1161" s="144"/>
      <c r="N1161" s="407"/>
      <c r="O1161" s="407"/>
      <c r="P1161" s="407"/>
      <c r="Q1161" s="407"/>
      <c r="R1161" s="407"/>
      <c r="S1161" s="407"/>
      <c r="T1161" s="407"/>
      <c r="U1161" s="407"/>
      <c r="V1161" s="407"/>
      <c r="W1161" s="407"/>
      <c r="X1161" s="407"/>
      <c r="Y1161" s="407"/>
      <c r="Z1161" s="407"/>
      <c r="AA1161" s="407">
        <f t="shared" si="151"/>
        <v>0</v>
      </c>
      <c r="AC1161" s="499"/>
      <c r="AD1161" s="512"/>
      <c r="AE1161" s="507"/>
      <c r="AF1161" s="507"/>
      <c r="AG1161" s="507"/>
      <c r="AH1161" s="507"/>
    </row>
    <row r="1162" spans="1:34" s="30" customFormat="1" ht="15.75">
      <c r="A1162" s="603">
        <v>150118</v>
      </c>
      <c r="B1162" s="605" t="s">
        <v>149</v>
      </c>
      <c r="C1162" s="195"/>
      <c r="D1162" s="136" t="s">
        <v>1456</v>
      </c>
      <c r="E1162" s="137"/>
      <c r="F1162" s="138"/>
      <c r="G1162" s="137"/>
      <c r="H1162" s="416"/>
      <c r="I1162" s="139">
        <f>SUM(I1163:I1164)</f>
        <v>3060000</v>
      </c>
      <c r="J1162" s="139">
        <f>SUM(J1163:J1164)</f>
        <v>0</v>
      </c>
      <c r="K1162" s="139">
        <f>SUM(K1163:K1164)</f>
        <v>0</v>
      </c>
      <c r="L1162" s="139">
        <f>SUM(L1163:L1164)</f>
        <v>0</v>
      </c>
      <c r="M1162" s="139">
        <f>SUM(M1163:M1164)</f>
        <v>3060000</v>
      </c>
      <c r="N1162" s="139">
        <f aca="true" t="shared" si="154" ref="N1162:Z1162">SUM(N1163:N1164)</f>
        <v>0</v>
      </c>
      <c r="O1162" s="139">
        <f t="shared" si="154"/>
        <v>0</v>
      </c>
      <c r="P1162" s="139">
        <f t="shared" si="154"/>
        <v>0</v>
      </c>
      <c r="Q1162" s="139">
        <f t="shared" si="154"/>
        <v>0</v>
      </c>
      <c r="R1162" s="139">
        <f t="shared" si="154"/>
        <v>0</v>
      </c>
      <c r="S1162" s="139">
        <f t="shared" si="154"/>
        <v>0</v>
      </c>
      <c r="T1162" s="139">
        <f t="shared" si="154"/>
        <v>0</v>
      </c>
      <c r="U1162" s="139">
        <f t="shared" si="154"/>
        <v>0</v>
      </c>
      <c r="V1162" s="139">
        <f t="shared" si="154"/>
        <v>0</v>
      </c>
      <c r="W1162" s="139">
        <f t="shared" si="154"/>
        <v>330000</v>
      </c>
      <c r="X1162" s="139">
        <f t="shared" si="154"/>
        <v>0</v>
      </c>
      <c r="Y1162" s="139">
        <f t="shared" si="154"/>
        <v>2730000</v>
      </c>
      <c r="Z1162" s="139">
        <f t="shared" si="154"/>
        <v>0</v>
      </c>
      <c r="AA1162" s="407">
        <f t="shared" si="151"/>
        <v>330000</v>
      </c>
      <c r="AC1162" s="59"/>
      <c r="AD1162" s="514"/>
      <c r="AE1162" s="509"/>
      <c r="AF1162" s="509"/>
      <c r="AG1162" s="509"/>
      <c r="AH1162" s="509"/>
    </row>
    <row r="1163" spans="1:34" s="369" customFormat="1" ht="51">
      <c r="A1163" s="608"/>
      <c r="B1163" s="607"/>
      <c r="C1163" s="135"/>
      <c r="D1163" s="13" t="s">
        <v>231</v>
      </c>
      <c r="E1163" s="172"/>
      <c r="F1163" s="229"/>
      <c r="G1163" s="172"/>
      <c r="H1163" s="417">
        <v>3240</v>
      </c>
      <c r="I1163" s="144">
        <v>330000</v>
      </c>
      <c r="J1163" s="169"/>
      <c r="K1163" s="169"/>
      <c r="L1163" s="49"/>
      <c r="M1163" s="49">
        <v>330000</v>
      </c>
      <c r="N1163" s="439"/>
      <c r="O1163" s="439"/>
      <c r="P1163" s="439"/>
      <c r="Q1163" s="439"/>
      <c r="R1163" s="439"/>
      <c r="S1163" s="439"/>
      <c r="T1163" s="439"/>
      <c r="U1163" s="439"/>
      <c r="V1163" s="439"/>
      <c r="W1163" s="439">
        <v>330000</v>
      </c>
      <c r="X1163" s="439"/>
      <c r="Y1163" s="439"/>
      <c r="Z1163" s="439"/>
      <c r="AA1163" s="407">
        <f t="shared" si="151"/>
        <v>330000</v>
      </c>
      <c r="AC1163" s="503"/>
      <c r="AD1163" s="512">
        <v>330000</v>
      </c>
      <c r="AE1163" s="507">
        <v>330000</v>
      </c>
      <c r="AF1163" s="507"/>
      <c r="AG1163" s="507"/>
      <c r="AH1163" s="507" t="s">
        <v>1973</v>
      </c>
    </row>
    <row r="1164" spans="1:34" s="369" customFormat="1" ht="51">
      <c r="A1164" s="608"/>
      <c r="B1164" s="607"/>
      <c r="C1164" s="135"/>
      <c r="D1164" s="14" t="s">
        <v>600</v>
      </c>
      <c r="E1164" s="172"/>
      <c r="F1164" s="229"/>
      <c r="G1164" s="172"/>
      <c r="H1164" s="417">
        <v>3240</v>
      </c>
      <c r="I1164" s="144">
        <v>2730000</v>
      </c>
      <c r="J1164" s="169"/>
      <c r="K1164" s="169"/>
      <c r="L1164" s="49"/>
      <c r="M1164" s="49">
        <v>2730000</v>
      </c>
      <c r="N1164" s="439"/>
      <c r="O1164" s="439"/>
      <c r="P1164" s="439"/>
      <c r="Q1164" s="439"/>
      <c r="R1164" s="439"/>
      <c r="S1164" s="439"/>
      <c r="T1164" s="439"/>
      <c r="U1164" s="439"/>
      <c r="V1164" s="439"/>
      <c r="W1164" s="439"/>
      <c r="X1164" s="439"/>
      <c r="Y1164" s="439">
        <v>2730000</v>
      </c>
      <c r="Z1164" s="439"/>
      <c r="AA1164" s="407">
        <f t="shared" si="151"/>
        <v>0</v>
      </c>
      <c r="AC1164" s="503"/>
      <c r="AD1164" s="512">
        <v>2730000</v>
      </c>
      <c r="AE1164" s="507">
        <v>2730000</v>
      </c>
      <c r="AF1164" s="507"/>
      <c r="AG1164" s="507"/>
      <c r="AH1164" s="507" t="s">
        <v>1973</v>
      </c>
    </row>
    <row r="1165" spans="1:34" s="30" customFormat="1" ht="15.75" customHeight="1" hidden="1">
      <c r="A1165" s="581" t="s">
        <v>305</v>
      </c>
      <c r="B1165" s="605" t="s">
        <v>753</v>
      </c>
      <c r="C1165" s="195"/>
      <c r="D1165" s="216"/>
      <c r="E1165" s="137"/>
      <c r="F1165" s="138"/>
      <c r="G1165" s="137"/>
      <c r="H1165" s="416"/>
      <c r="I1165" s="139" t="e">
        <f>J1165+K1165+L1165+M1165+#REF!+#REF!</f>
        <v>#REF!</v>
      </c>
      <c r="J1165" s="139">
        <f>J1166</f>
        <v>0</v>
      </c>
      <c r="K1165" s="139">
        <f>K1166</f>
        <v>0</v>
      </c>
      <c r="L1165" s="139">
        <f>SUM(L1166:L1167)</f>
        <v>0</v>
      </c>
      <c r="M1165" s="139">
        <f>M1166</f>
        <v>0</v>
      </c>
      <c r="N1165" s="439"/>
      <c r="O1165" s="439"/>
      <c r="P1165" s="439"/>
      <c r="Q1165" s="439"/>
      <c r="R1165" s="439"/>
      <c r="S1165" s="439"/>
      <c r="T1165" s="439"/>
      <c r="U1165" s="439"/>
      <c r="V1165" s="439"/>
      <c r="W1165" s="439"/>
      <c r="X1165" s="439"/>
      <c r="Y1165" s="439"/>
      <c r="Z1165" s="439"/>
      <c r="AA1165" s="407">
        <f t="shared" si="151"/>
        <v>0</v>
      </c>
      <c r="AC1165" s="59"/>
      <c r="AD1165" s="514"/>
      <c r="AE1165" s="509"/>
      <c r="AF1165" s="509"/>
      <c r="AG1165" s="509"/>
      <c r="AH1165" s="509"/>
    </row>
    <row r="1166" spans="1:34" s="30" customFormat="1" ht="31.5" hidden="1">
      <c r="A1166" s="582"/>
      <c r="B1166" s="607"/>
      <c r="C1166" s="135" t="s">
        <v>552</v>
      </c>
      <c r="D1166" s="225" t="s">
        <v>553</v>
      </c>
      <c r="E1166" s="172"/>
      <c r="F1166" s="229"/>
      <c r="G1166" s="172"/>
      <c r="H1166" s="420"/>
      <c r="I1166" s="169" t="e">
        <f>J1166+K1166+L1166+M1166+#REF!+#REF!</f>
        <v>#REF!</v>
      </c>
      <c r="J1166" s="169"/>
      <c r="K1166" s="169"/>
      <c r="L1166" s="169"/>
      <c r="M1166" s="169"/>
      <c r="N1166" s="439"/>
      <c r="O1166" s="439"/>
      <c r="P1166" s="439"/>
      <c r="Q1166" s="439"/>
      <c r="R1166" s="439"/>
      <c r="S1166" s="439"/>
      <c r="T1166" s="439"/>
      <c r="U1166" s="439"/>
      <c r="V1166" s="439"/>
      <c r="W1166" s="439"/>
      <c r="X1166" s="439"/>
      <c r="Y1166" s="439"/>
      <c r="Z1166" s="439"/>
      <c r="AA1166" s="407">
        <f t="shared" si="151"/>
        <v>0</v>
      </c>
      <c r="AC1166" s="59"/>
      <c r="AD1166" s="514"/>
      <c r="AE1166" s="509"/>
      <c r="AF1166" s="509"/>
      <c r="AG1166" s="509"/>
      <c r="AH1166" s="509"/>
    </row>
    <row r="1167" spans="1:34" s="30" customFormat="1" ht="31.5" hidden="1">
      <c r="A1167" s="583"/>
      <c r="B1167" s="606"/>
      <c r="C1167" s="135"/>
      <c r="D1167" s="225" t="s">
        <v>554</v>
      </c>
      <c r="E1167" s="172"/>
      <c r="F1167" s="229"/>
      <c r="G1167" s="172"/>
      <c r="H1167" s="420"/>
      <c r="I1167" s="169" t="e">
        <f>J1167+K1167+L1167+M1167+#REF!+#REF!</f>
        <v>#REF!</v>
      </c>
      <c r="J1167" s="169"/>
      <c r="K1167" s="169"/>
      <c r="L1167" s="169"/>
      <c r="M1167" s="169"/>
      <c r="N1167" s="439"/>
      <c r="O1167" s="439"/>
      <c r="P1167" s="439"/>
      <c r="Q1167" s="439"/>
      <c r="R1167" s="439"/>
      <c r="S1167" s="439"/>
      <c r="T1167" s="439"/>
      <c r="U1167" s="439"/>
      <c r="V1167" s="439"/>
      <c r="W1167" s="439"/>
      <c r="X1167" s="439"/>
      <c r="Y1167" s="439"/>
      <c r="Z1167" s="439"/>
      <c r="AA1167" s="407">
        <f t="shared" si="151"/>
        <v>0</v>
      </c>
      <c r="AC1167" s="59"/>
      <c r="AD1167" s="514"/>
      <c r="AE1167" s="509"/>
      <c r="AF1167" s="509"/>
      <c r="AG1167" s="509"/>
      <c r="AH1167" s="509"/>
    </row>
    <row r="1168" spans="1:34" s="30" customFormat="1" ht="15.75">
      <c r="A1168" s="581" t="s">
        <v>150</v>
      </c>
      <c r="B1168" s="605" t="s">
        <v>1255</v>
      </c>
      <c r="C1168" s="166"/>
      <c r="D1168" s="216" t="s">
        <v>1456</v>
      </c>
      <c r="E1168" s="137"/>
      <c r="F1168" s="138"/>
      <c r="G1168" s="137"/>
      <c r="H1168" s="416"/>
      <c r="I1168" s="139">
        <f>I1169</f>
        <v>200000</v>
      </c>
      <c r="J1168" s="139">
        <f aca="true" t="shared" si="155" ref="J1168:Z1168">J1169</f>
        <v>0</v>
      </c>
      <c r="K1168" s="139">
        <f t="shared" si="155"/>
        <v>0</v>
      </c>
      <c r="L1168" s="139">
        <f t="shared" si="155"/>
        <v>0</v>
      </c>
      <c r="M1168" s="139">
        <f t="shared" si="155"/>
        <v>0</v>
      </c>
      <c r="N1168" s="139">
        <f t="shared" si="155"/>
        <v>0</v>
      </c>
      <c r="O1168" s="139">
        <f t="shared" si="155"/>
        <v>0</v>
      </c>
      <c r="P1168" s="139">
        <f t="shared" si="155"/>
        <v>0</v>
      </c>
      <c r="Q1168" s="139">
        <f t="shared" si="155"/>
        <v>0</v>
      </c>
      <c r="R1168" s="139">
        <f t="shared" si="155"/>
        <v>0</v>
      </c>
      <c r="S1168" s="139">
        <f t="shared" si="155"/>
        <v>0</v>
      </c>
      <c r="T1168" s="139">
        <f t="shared" si="155"/>
        <v>0</v>
      </c>
      <c r="U1168" s="139">
        <f t="shared" si="155"/>
        <v>0</v>
      </c>
      <c r="V1168" s="139">
        <f t="shared" si="155"/>
        <v>0</v>
      </c>
      <c r="W1168" s="139">
        <f t="shared" si="155"/>
        <v>0</v>
      </c>
      <c r="X1168" s="139">
        <f t="shared" si="155"/>
        <v>200000</v>
      </c>
      <c r="Y1168" s="139">
        <f t="shared" si="155"/>
        <v>0</v>
      </c>
      <c r="Z1168" s="139">
        <f t="shared" si="155"/>
        <v>0</v>
      </c>
      <c r="AA1168" s="407">
        <f t="shared" si="151"/>
        <v>200000</v>
      </c>
      <c r="AC1168" s="59"/>
      <c r="AD1168" s="514"/>
      <c r="AE1168" s="509"/>
      <c r="AF1168" s="509"/>
      <c r="AG1168" s="509"/>
      <c r="AH1168" s="509"/>
    </row>
    <row r="1169" spans="1:34" s="30" customFormat="1" ht="120" customHeight="1">
      <c r="A1169" s="583"/>
      <c r="B1169" s="606"/>
      <c r="C1169" s="135"/>
      <c r="D1169" s="225" t="s">
        <v>221</v>
      </c>
      <c r="E1169" s="172"/>
      <c r="F1169" s="229"/>
      <c r="G1169" s="172"/>
      <c r="H1169" s="420">
        <v>3220</v>
      </c>
      <c r="I1169" s="169">
        <v>200000</v>
      </c>
      <c r="J1169" s="169"/>
      <c r="K1169" s="169"/>
      <c r="L1169" s="169"/>
      <c r="M1169" s="169"/>
      <c r="N1169" s="439"/>
      <c r="O1169" s="439"/>
      <c r="P1169" s="439"/>
      <c r="Q1169" s="439"/>
      <c r="R1169" s="439"/>
      <c r="S1169" s="439"/>
      <c r="T1169" s="439"/>
      <c r="U1169" s="439"/>
      <c r="V1169" s="439"/>
      <c r="W1169" s="439"/>
      <c r="X1169" s="439">
        <v>200000</v>
      </c>
      <c r="Y1169" s="439"/>
      <c r="Z1169" s="439"/>
      <c r="AA1169" s="407">
        <f t="shared" si="151"/>
        <v>200000</v>
      </c>
      <c r="AC1169" s="59"/>
      <c r="AD1169" s="514"/>
      <c r="AE1169" s="509"/>
      <c r="AF1169" s="509"/>
      <c r="AG1169" s="509"/>
      <c r="AH1169" s="509"/>
    </row>
    <row r="1170" spans="1:62" s="28" customFormat="1" ht="15.75">
      <c r="A1170" s="581" t="s">
        <v>1449</v>
      </c>
      <c r="B1170" s="605" t="s">
        <v>1256</v>
      </c>
      <c r="C1170" s="267"/>
      <c r="D1170" s="168" t="s">
        <v>1456</v>
      </c>
      <c r="E1170" s="137"/>
      <c r="F1170" s="138"/>
      <c r="G1170" s="137"/>
      <c r="H1170" s="416"/>
      <c r="I1170" s="139">
        <f>I1171+I1175+I1184</f>
        <v>468500</v>
      </c>
      <c r="J1170" s="139">
        <f aca="true" t="shared" si="156" ref="J1170:Z1170">J1171+J1175+J1184</f>
        <v>0</v>
      </c>
      <c r="K1170" s="139">
        <f t="shared" si="156"/>
        <v>0</v>
      </c>
      <c r="L1170" s="139">
        <f t="shared" si="156"/>
        <v>0</v>
      </c>
      <c r="M1170" s="139">
        <f t="shared" si="156"/>
        <v>642000</v>
      </c>
      <c r="N1170" s="139">
        <f t="shared" si="156"/>
        <v>0</v>
      </c>
      <c r="O1170" s="139">
        <f t="shared" si="156"/>
        <v>0</v>
      </c>
      <c r="P1170" s="139">
        <f t="shared" si="156"/>
        <v>0</v>
      </c>
      <c r="Q1170" s="139">
        <f t="shared" si="156"/>
        <v>0</v>
      </c>
      <c r="R1170" s="139">
        <f t="shared" si="156"/>
        <v>0</v>
      </c>
      <c r="S1170" s="139">
        <f t="shared" si="156"/>
        <v>0</v>
      </c>
      <c r="T1170" s="139">
        <f t="shared" si="156"/>
        <v>0</v>
      </c>
      <c r="U1170" s="139">
        <f t="shared" si="156"/>
        <v>292000</v>
      </c>
      <c r="V1170" s="139">
        <f t="shared" si="156"/>
        <v>80000</v>
      </c>
      <c r="W1170" s="139">
        <f t="shared" si="156"/>
        <v>0</v>
      </c>
      <c r="X1170" s="139">
        <f t="shared" si="156"/>
        <v>96500</v>
      </c>
      <c r="Y1170" s="139">
        <f t="shared" si="156"/>
        <v>0</v>
      </c>
      <c r="Z1170" s="139">
        <f t="shared" si="156"/>
        <v>16129</v>
      </c>
      <c r="AA1170" s="407">
        <f t="shared" si="151"/>
        <v>452371</v>
      </c>
      <c r="AB1170" s="30"/>
      <c r="AC1170" s="59"/>
      <c r="AD1170" s="514"/>
      <c r="AE1170" s="509"/>
      <c r="AF1170" s="509"/>
      <c r="AG1170" s="509"/>
      <c r="AH1170" s="509"/>
      <c r="AI1170" s="30"/>
      <c r="AJ1170" s="30"/>
      <c r="AK1170" s="30"/>
      <c r="AL1170" s="30"/>
      <c r="AM1170" s="30"/>
      <c r="AN1170" s="30"/>
      <c r="AO1170" s="30"/>
      <c r="AP1170" s="30"/>
      <c r="AQ1170" s="30"/>
      <c r="AR1170" s="30"/>
      <c r="AS1170" s="30"/>
      <c r="AT1170" s="30"/>
      <c r="AU1170" s="30"/>
      <c r="AV1170" s="30"/>
      <c r="AW1170" s="30"/>
      <c r="AX1170" s="30"/>
      <c r="AY1170" s="30"/>
      <c r="AZ1170" s="30"/>
      <c r="BA1170" s="30"/>
      <c r="BB1170" s="30"/>
      <c r="BC1170" s="30"/>
      <c r="BD1170" s="30"/>
      <c r="BE1170" s="30"/>
      <c r="BF1170" s="30"/>
      <c r="BG1170" s="30"/>
      <c r="BH1170" s="30"/>
      <c r="BI1170" s="30"/>
      <c r="BJ1170" s="30"/>
    </row>
    <row r="1171" spans="1:34" s="369" customFormat="1" ht="30.75" customHeight="1">
      <c r="A1171" s="582"/>
      <c r="B1171" s="607"/>
      <c r="C1171" s="266"/>
      <c r="D1171" s="377" t="s">
        <v>23</v>
      </c>
      <c r="E1171" s="172"/>
      <c r="F1171" s="229"/>
      <c r="G1171" s="172"/>
      <c r="H1171" s="417"/>
      <c r="I1171" s="74">
        <f>SUM(I1172:I1174)</f>
        <v>142000</v>
      </c>
      <c r="J1171" s="74">
        <f>SUM(J1172:J1174)</f>
        <v>0</v>
      </c>
      <c r="K1171" s="74">
        <f>SUM(K1172:K1174)</f>
        <v>0</v>
      </c>
      <c r="L1171" s="74">
        <f>SUM(L1172:L1174)</f>
        <v>0</v>
      </c>
      <c r="M1171" s="74">
        <f>SUM(M1172:M1174)</f>
        <v>142000</v>
      </c>
      <c r="N1171" s="74">
        <f aca="true" t="shared" si="157" ref="N1171:Z1171">SUM(N1172:N1174)</f>
        <v>0</v>
      </c>
      <c r="O1171" s="74">
        <f t="shared" si="157"/>
        <v>0</v>
      </c>
      <c r="P1171" s="74">
        <f t="shared" si="157"/>
        <v>0</v>
      </c>
      <c r="Q1171" s="74">
        <f t="shared" si="157"/>
        <v>0</v>
      </c>
      <c r="R1171" s="74">
        <f t="shared" si="157"/>
        <v>0</v>
      </c>
      <c r="S1171" s="74">
        <f t="shared" si="157"/>
        <v>0</v>
      </c>
      <c r="T1171" s="74">
        <f t="shared" si="157"/>
        <v>0</v>
      </c>
      <c r="U1171" s="74">
        <f t="shared" si="157"/>
        <v>92000</v>
      </c>
      <c r="V1171" s="74">
        <f t="shared" si="157"/>
        <v>50000</v>
      </c>
      <c r="W1171" s="74">
        <f t="shared" si="157"/>
        <v>0</v>
      </c>
      <c r="X1171" s="74">
        <f t="shared" si="157"/>
        <v>0</v>
      </c>
      <c r="Y1171" s="74">
        <f t="shared" si="157"/>
        <v>0</v>
      </c>
      <c r="Z1171" s="74">
        <f t="shared" si="157"/>
        <v>12600</v>
      </c>
      <c r="AA1171" s="407">
        <f t="shared" si="151"/>
        <v>129400</v>
      </c>
      <c r="AC1171" s="503"/>
      <c r="AD1171" s="512"/>
      <c r="AE1171" s="507"/>
      <c r="AF1171" s="507"/>
      <c r="AG1171" s="507"/>
      <c r="AH1171" s="507"/>
    </row>
    <row r="1172" spans="1:34" s="369" customFormat="1" ht="57" customHeight="1">
      <c r="A1172" s="582"/>
      <c r="B1172" s="607"/>
      <c r="C1172" s="266"/>
      <c r="D1172" s="346" t="s">
        <v>850</v>
      </c>
      <c r="E1172" s="172"/>
      <c r="F1172" s="229"/>
      <c r="G1172" s="172"/>
      <c r="H1172" s="417">
        <v>3110</v>
      </c>
      <c r="I1172" s="144">
        <v>42000</v>
      </c>
      <c r="J1172" s="169"/>
      <c r="K1172" s="169"/>
      <c r="L1172" s="49"/>
      <c r="M1172" s="49">
        <v>42000</v>
      </c>
      <c r="N1172" s="439"/>
      <c r="O1172" s="439"/>
      <c r="P1172" s="439"/>
      <c r="Q1172" s="439"/>
      <c r="R1172" s="439"/>
      <c r="S1172" s="439"/>
      <c r="T1172" s="439"/>
      <c r="U1172" s="439">
        <v>42000</v>
      </c>
      <c r="V1172" s="439"/>
      <c r="W1172" s="439"/>
      <c r="X1172" s="439"/>
      <c r="Y1172" s="439"/>
      <c r="Z1172" s="407">
        <v>12600</v>
      </c>
      <c r="AA1172" s="407">
        <f t="shared" si="151"/>
        <v>29400</v>
      </c>
      <c r="AC1172" s="503"/>
      <c r="AD1172" s="512">
        <v>42000</v>
      </c>
      <c r="AE1172" s="507">
        <v>42000</v>
      </c>
      <c r="AF1172" s="507" t="s">
        <v>1974</v>
      </c>
      <c r="AG1172" s="507"/>
      <c r="AH1172" s="507" t="s">
        <v>1975</v>
      </c>
    </row>
    <row r="1173" spans="1:34" s="369" customFormat="1" ht="31.5">
      <c r="A1173" s="582"/>
      <c r="B1173" s="607"/>
      <c r="C1173" s="266"/>
      <c r="D1173" s="346" t="s">
        <v>601</v>
      </c>
      <c r="E1173" s="172"/>
      <c r="F1173" s="229"/>
      <c r="G1173" s="172"/>
      <c r="H1173" s="417">
        <v>3132</v>
      </c>
      <c r="I1173" s="144">
        <v>50000</v>
      </c>
      <c r="J1173" s="169"/>
      <c r="K1173" s="169"/>
      <c r="L1173" s="49"/>
      <c r="M1173" s="49">
        <v>50000</v>
      </c>
      <c r="N1173" s="439"/>
      <c r="O1173" s="439"/>
      <c r="P1173" s="439"/>
      <c r="Q1173" s="439"/>
      <c r="R1173" s="439"/>
      <c r="S1173" s="439"/>
      <c r="T1173" s="439"/>
      <c r="U1173" s="439">
        <v>50000</v>
      </c>
      <c r="V1173" s="439"/>
      <c r="W1173" s="439"/>
      <c r="X1173" s="439"/>
      <c r="Y1173" s="439"/>
      <c r="Z1173" s="439"/>
      <c r="AA1173" s="407">
        <f t="shared" si="151"/>
        <v>50000</v>
      </c>
      <c r="AC1173" s="503"/>
      <c r="AD1173" s="512">
        <v>50000</v>
      </c>
      <c r="AE1173" s="507">
        <v>50000</v>
      </c>
      <c r="AF1173" s="507"/>
      <c r="AG1173" s="507"/>
      <c r="AH1173" s="507"/>
    </row>
    <row r="1174" spans="1:34" s="369" customFormat="1" ht="31.5">
      <c r="A1174" s="582"/>
      <c r="B1174" s="607"/>
      <c r="C1174" s="266"/>
      <c r="D1174" s="346" t="s">
        <v>602</v>
      </c>
      <c r="E1174" s="172"/>
      <c r="F1174" s="229"/>
      <c r="G1174" s="172"/>
      <c r="H1174" s="417">
        <v>3132</v>
      </c>
      <c r="I1174" s="144">
        <v>50000</v>
      </c>
      <c r="J1174" s="169"/>
      <c r="K1174" s="169"/>
      <c r="L1174" s="49"/>
      <c r="M1174" s="49">
        <v>50000</v>
      </c>
      <c r="N1174" s="439"/>
      <c r="O1174" s="439"/>
      <c r="P1174" s="439"/>
      <c r="Q1174" s="439"/>
      <c r="R1174" s="439"/>
      <c r="S1174" s="439"/>
      <c r="T1174" s="439"/>
      <c r="U1174" s="439"/>
      <c r="V1174" s="439">
        <v>50000</v>
      </c>
      <c r="W1174" s="439"/>
      <c r="X1174" s="439"/>
      <c r="Y1174" s="439"/>
      <c r="Z1174" s="439"/>
      <c r="AA1174" s="407">
        <f t="shared" si="151"/>
        <v>50000</v>
      </c>
      <c r="AC1174" s="503"/>
      <c r="AD1174" s="512">
        <v>50000</v>
      </c>
      <c r="AE1174" s="507">
        <v>50000</v>
      </c>
      <c r="AF1174" s="507"/>
      <c r="AG1174" s="507"/>
      <c r="AH1174" s="507"/>
    </row>
    <row r="1175" spans="1:34" s="369" customFormat="1" ht="31.5" customHeight="1">
      <c r="A1175" s="582"/>
      <c r="B1175" s="607"/>
      <c r="C1175" s="321"/>
      <c r="D1175" s="377" t="s">
        <v>24</v>
      </c>
      <c r="E1175" s="172"/>
      <c r="F1175" s="229"/>
      <c r="G1175" s="172"/>
      <c r="H1175" s="417"/>
      <c r="I1175" s="74">
        <f>I1176</f>
        <v>230000</v>
      </c>
      <c r="J1175" s="74">
        <f>J1176</f>
        <v>0</v>
      </c>
      <c r="K1175" s="74">
        <f>K1176</f>
        <v>0</v>
      </c>
      <c r="L1175" s="74">
        <f>L1176</f>
        <v>0</v>
      </c>
      <c r="M1175" s="74">
        <f>M1176</f>
        <v>500000</v>
      </c>
      <c r="N1175" s="74">
        <f aca="true" t="shared" si="158" ref="N1175:Z1175">N1176</f>
        <v>0</v>
      </c>
      <c r="O1175" s="74">
        <f t="shared" si="158"/>
        <v>0</v>
      </c>
      <c r="P1175" s="74">
        <f t="shared" si="158"/>
        <v>0</v>
      </c>
      <c r="Q1175" s="74">
        <f t="shared" si="158"/>
        <v>0</v>
      </c>
      <c r="R1175" s="74">
        <f t="shared" si="158"/>
        <v>0</v>
      </c>
      <c r="S1175" s="74">
        <f t="shared" si="158"/>
        <v>0</v>
      </c>
      <c r="T1175" s="74">
        <f t="shared" si="158"/>
        <v>0</v>
      </c>
      <c r="U1175" s="74">
        <f t="shared" si="158"/>
        <v>200000</v>
      </c>
      <c r="V1175" s="74">
        <f t="shared" si="158"/>
        <v>30000</v>
      </c>
      <c r="W1175" s="74">
        <f t="shared" si="158"/>
        <v>0</v>
      </c>
      <c r="X1175" s="74">
        <f t="shared" si="158"/>
        <v>0</v>
      </c>
      <c r="Y1175" s="74">
        <f t="shared" si="158"/>
        <v>0</v>
      </c>
      <c r="Z1175" s="74">
        <f t="shared" si="158"/>
        <v>3529</v>
      </c>
      <c r="AA1175" s="407">
        <f t="shared" si="151"/>
        <v>226471</v>
      </c>
      <c r="AC1175" s="503"/>
      <c r="AD1175" s="512"/>
      <c r="AE1175" s="507"/>
      <c r="AF1175" s="507"/>
      <c r="AG1175" s="507"/>
      <c r="AH1175" s="507"/>
    </row>
    <row r="1176" spans="1:34" s="369" customFormat="1" ht="31.5">
      <c r="A1176" s="582"/>
      <c r="B1176" s="607"/>
      <c r="C1176" s="266"/>
      <c r="D1176" s="384" t="s">
        <v>603</v>
      </c>
      <c r="E1176" s="172"/>
      <c r="F1176" s="229"/>
      <c r="G1176" s="172"/>
      <c r="H1176" s="417">
        <v>3142</v>
      </c>
      <c r="I1176" s="144">
        <f>500000-270000</f>
        <v>230000</v>
      </c>
      <c r="J1176" s="144"/>
      <c r="K1176" s="144"/>
      <c r="L1176" s="51"/>
      <c r="M1176" s="51">
        <v>500000</v>
      </c>
      <c r="N1176" s="407"/>
      <c r="O1176" s="407"/>
      <c r="P1176" s="407"/>
      <c r="Q1176" s="407"/>
      <c r="R1176" s="407"/>
      <c r="S1176" s="407"/>
      <c r="T1176" s="407"/>
      <c r="U1176" s="407">
        <v>200000</v>
      </c>
      <c r="V1176" s="407">
        <f>300000-270000</f>
        <v>30000</v>
      </c>
      <c r="W1176" s="407"/>
      <c r="X1176" s="407"/>
      <c r="Y1176" s="407"/>
      <c r="Z1176" s="407">
        <v>3529</v>
      </c>
      <c r="AA1176" s="407">
        <f t="shared" si="151"/>
        <v>226471</v>
      </c>
      <c r="AC1176" s="503"/>
      <c r="AD1176" s="512">
        <v>230000</v>
      </c>
      <c r="AE1176" s="507">
        <v>500000</v>
      </c>
      <c r="AF1176" s="507" t="s">
        <v>1976</v>
      </c>
      <c r="AG1176" s="507"/>
      <c r="AH1176" s="507" t="s">
        <v>1975</v>
      </c>
    </row>
    <row r="1177" spans="1:34" s="369" customFormat="1" ht="15.75" hidden="1">
      <c r="A1177" s="357"/>
      <c r="B1177" s="356"/>
      <c r="C1177" s="266"/>
      <c r="D1177" s="531" t="s">
        <v>434</v>
      </c>
      <c r="E1177" s="172"/>
      <c r="F1177" s="229"/>
      <c r="G1177" s="172"/>
      <c r="H1177" s="420">
        <v>3110</v>
      </c>
      <c r="I1177" s="169">
        <f>296500-296500</f>
        <v>0</v>
      </c>
      <c r="J1177" s="169"/>
      <c r="K1177" s="169"/>
      <c r="L1177" s="532"/>
      <c r="M1177" s="532"/>
      <c r="N1177" s="439"/>
      <c r="O1177" s="439"/>
      <c r="P1177" s="439"/>
      <c r="Q1177" s="439"/>
      <c r="R1177" s="439"/>
      <c r="S1177" s="439"/>
      <c r="T1177" s="439"/>
      <c r="U1177" s="439"/>
      <c r="V1177" s="439">
        <f>296500</f>
        <v>296500</v>
      </c>
      <c r="W1177" s="439"/>
      <c r="X1177" s="439">
        <v>-296500</v>
      </c>
      <c r="Y1177" s="439"/>
      <c r="Z1177" s="439"/>
      <c r="AA1177" s="407">
        <f t="shared" si="151"/>
        <v>0</v>
      </c>
      <c r="AC1177" s="503"/>
      <c r="AD1177" s="512"/>
      <c r="AE1177" s="507"/>
      <c r="AF1177" s="507"/>
      <c r="AG1177" s="507"/>
      <c r="AH1177" s="507"/>
    </row>
    <row r="1178" spans="1:34" s="45" customFormat="1" ht="10.5" customHeight="1" hidden="1">
      <c r="A1178" s="157"/>
      <c r="B1178" s="217"/>
      <c r="C1178" s="135"/>
      <c r="D1178" s="217"/>
      <c r="E1178" s="172"/>
      <c r="F1178" s="229"/>
      <c r="G1178" s="172"/>
      <c r="H1178" s="420"/>
      <c r="I1178" s="144"/>
      <c r="J1178" s="144"/>
      <c r="K1178" s="462"/>
      <c r="L1178" s="144"/>
      <c r="M1178" s="144"/>
      <c r="N1178" s="407"/>
      <c r="O1178" s="407"/>
      <c r="P1178" s="407"/>
      <c r="Q1178" s="407"/>
      <c r="R1178" s="407"/>
      <c r="S1178" s="407"/>
      <c r="T1178" s="407"/>
      <c r="U1178" s="407"/>
      <c r="V1178" s="407"/>
      <c r="W1178" s="407"/>
      <c r="X1178" s="407"/>
      <c r="Y1178" s="407"/>
      <c r="Z1178" s="407"/>
      <c r="AA1178" s="407">
        <f t="shared" si="151"/>
        <v>0</v>
      </c>
      <c r="AC1178" s="499"/>
      <c r="AD1178" s="512"/>
      <c r="AE1178" s="507"/>
      <c r="AF1178" s="507"/>
      <c r="AG1178" s="507"/>
      <c r="AH1178" s="507"/>
    </row>
    <row r="1179" spans="1:34" ht="15.75" customHeight="1" hidden="1">
      <c r="A1179" s="233" t="s">
        <v>1647</v>
      </c>
      <c r="B1179" s="584" t="s">
        <v>306</v>
      </c>
      <c r="C1179" s="584"/>
      <c r="D1179" s="584"/>
      <c r="E1179" s="193"/>
      <c r="F1179" s="194"/>
      <c r="G1179" s="193"/>
      <c r="H1179" s="425"/>
      <c r="I1179" s="132" t="e">
        <f>J1179+K1179+L1179+M1179+#REF!+#REF!</f>
        <v>#REF!</v>
      </c>
      <c r="J1179" s="132">
        <f>J1180+J1182</f>
        <v>0</v>
      </c>
      <c r="K1179" s="132">
        <f>K1180</f>
        <v>0</v>
      </c>
      <c r="L1179" s="132">
        <f>L1180+L1182</f>
        <v>0</v>
      </c>
      <c r="M1179" s="132">
        <f>M1180</f>
        <v>0</v>
      </c>
      <c r="N1179" s="407"/>
      <c r="O1179" s="407"/>
      <c r="P1179" s="407"/>
      <c r="Q1179" s="407"/>
      <c r="R1179" s="407"/>
      <c r="S1179" s="407"/>
      <c r="T1179" s="407"/>
      <c r="U1179" s="407"/>
      <c r="V1179" s="407"/>
      <c r="W1179" s="407"/>
      <c r="X1179" s="407"/>
      <c r="Y1179" s="407"/>
      <c r="Z1179" s="407"/>
      <c r="AA1179" s="407">
        <f t="shared" si="151"/>
        <v>0</v>
      </c>
      <c r="AC1179" s="499"/>
      <c r="AD1179" s="512"/>
      <c r="AE1179" s="507"/>
      <c r="AF1179" s="507"/>
      <c r="AG1179" s="507"/>
      <c r="AH1179" s="507"/>
    </row>
    <row r="1180" spans="1:34" s="45" customFormat="1" ht="15.75" hidden="1">
      <c r="A1180" s="585" t="s">
        <v>1756</v>
      </c>
      <c r="B1180" s="586" t="s">
        <v>1458</v>
      </c>
      <c r="C1180" s="195"/>
      <c r="D1180" s="216" t="s">
        <v>1456</v>
      </c>
      <c r="E1180" s="137"/>
      <c r="F1180" s="138"/>
      <c r="G1180" s="137"/>
      <c r="H1180" s="416"/>
      <c r="I1180" s="139" t="e">
        <f>J1180+K1180+L1180+M1180+#REF!+#REF!</f>
        <v>#REF!</v>
      </c>
      <c r="J1180" s="139">
        <f>J1181</f>
        <v>0</v>
      </c>
      <c r="K1180" s="139">
        <f>K1181</f>
        <v>0</v>
      </c>
      <c r="L1180" s="139">
        <f>L1181</f>
        <v>0</v>
      </c>
      <c r="M1180" s="139">
        <f>M1181</f>
        <v>0</v>
      </c>
      <c r="N1180" s="407"/>
      <c r="O1180" s="407"/>
      <c r="P1180" s="407"/>
      <c r="Q1180" s="407"/>
      <c r="R1180" s="407"/>
      <c r="S1180" s="407"/>
      <c r="T1180" s="407"/>
      <c r="U1180" s="407"/>
      <c r="V1180" s="407"/>
      <c r="W1180" s="407"/>
      <c r="X1180" s="407"/>
      <c r="Y1180" s="407"/>
      <c r="Z1180" s="407"/>
      <c r="AA1180" s="407">
        <f t="shared" si="151"/>
        <v>0</v>
      </c>
      <c r="AC1180" s="499"/>
      <c r="AD1180" s="512"/>
      <c r="AE1180" s="507"/>
      <c r="AF1180" s="507"/>
      <c r="AG1180" s="507"/>
      <c r="AH1180" s="507"/>
    </row>
    <row r="1181" spans="1:34" s="45" customFormat="1" ht="31.5" customHeight="1" hidden="1">
      <c r="A1181" s="585"/>
      <c r="B1181" s="586"/>
      <c r="C1181" s="148" t="s">
        <v>1197</v>
      </c>
      <c r="D1181" s="141" t="s">
        <v>1198</v>
      </c>
      <c r="E1181" s="172"/>
      <c r="F1181" s="229"/>
      <c r="G1181" s="172"/>
      <c r="H1181" s="420"/>
      <c r="I1181" s="144" t="e">
        <f>J1181+K1181+L1181+M1181+#REF!+#REF!</f>
        <v>#REF!</v>
      </c>
      <c r="J1181" s="144"/>
      <c r="K1181" s="144"/>
      <c r="L1181" s="144"/>
      <c r="M1181" s="144"/>
      <c r="N1181" s="407"/>
      <c r="O1181" s="407"/>
      <c r="P1181" s="407"/>
      <c r="Q1181" s="407"/>
      <c r="R1181" s="407"/>
      <c r="S1181" s="407"/>
      <c r="T1181" s="407"/>
      <c r="U1181" s="407"/>
      <c r="V1181" s="407"/>
      <c r="W1181" s="407"/>
      <c r="X1181" s="407"/>
      <c r="Y1181" s="407"/>
      <c r="Z1181" s="407"/>
      <c r="AA1181" s="407">
        <f t="shared" si="151"/>
        <v>0</v>
      </c>
      <c r="AC1181" s="499"/>
      <c r="AD1181" s="512"/>
      <c r="AE1181" s="507"/>
      <c r="AF1181" s="507"/>
      <c r="AG1181" s="507"/>
      <c r="AH1181" s="507"/>
    </row>
    <row r="1182" spans="1:34" s="30" customFormat="1" ht="110.25" hidden="1">
      <c r="A1182" s="166">
        <v>250344</v>
      </c>
      <c r="B1182" s="166" t="s">
        <v>1255</v>
      </c>
      <c r="C1182" s="167" t="s">
        <v>252</v>
      </c>
      <c r="D1182" s="168" t="s">
        <v>583</v>
      </c>
      <c r="E1182" s="137"/>
      <c r="F1182" s="159"/>
      <c r="G1182" s="137"/>
      <c r="H1182" s="416"/>
      <c r="I1182" s="139" t="e">
        <f>J1182+K1182+L1182+M1182+#REF!+#REF!</f>
        <v>#REF!</v>
      </c>
      <c r="J1182" s="139"/>
      <c r="K1182" s="139"/>
      <c r="L1182" s="139"/>
      <c r="M1182" s="139"/>
      <c r="N1182" s="407"/>
      <c r="O1182" s="439"/>
      <c r="P1182" s="439"/>
      <c r="Q1182" s="439"/>
      <c r="R1182" s="439"/>
      <c r="S1182" s="439"/>
      <c r="T1182" s="439"/>
      <c r="U1182" s="439"/>
      <c r="V1182" s="439"/>
      <c r="W1182" s="439"/>
      <c r="X1182" s="439"/>
      <c r="Y1182" s="439"/>
      <c r="Z1182" s="439"/>
      <c r="AA1182" s="407">
        <f t="shared" si="151"/>
        <v>0</v>
      </c>
      <c r="AC1182" s="59"/>
      <c r="AD1182" s="514"/>
      <c r="AE1182" s="509"/>
      <c r="AF1182" s="509"/>
      <c r="AG1182" s="509"/>
      <c r="AH1182" s="509"/>
    </row>
    <row r="1183" spans="1:34" ht="15.75" hidden="1">
      <c r="A1183" s="310"/>
      <c r="B1183" s="310"/>
      <c r="C1183" s="306"/>
      <c r="D1183" s="217"/>
      <c r="E1183" s="292"/>
      <c r="F1183" s="335"/>
      <c r="G1183" s="292"/>
      <c r="H1183" s="427"/>
      <c r="I1183" s="307"/>
      <c r="J1183" s="307"/>
      <c r="K1183" s="476"/>
      <c r="L1183" s="307"/>
      <c r="M1183" s="307"/>
      <c r="N1183" s="407"/>
      <c r="O1183" s="407"/>
      <c r="P1183" s="407"/>
      <c r="Q1183" s="407"/>
      <c r="R1183" s="407"/>
      <c r="S1183" s="407"/>
      <c r="T1183" s="407"/>
      <c r="U1183" s="407"/>
      <c r="V1183" s="407"/>
      <c r="W1183" s="407"/>
      <c r="X1183" s="407"/>
      <c r="Y1183" s="407"/>
      <c r="Z1183" s="407"/>
      <c r="AA1183" s="407">
        <f t="shared" si="151"/>
        <v>0</v>
      </c>
      <c r="AC1183" s="499"/>
      <c r="AD1183" s="512"/>
      <c r="AE1183" s="507"/>
      <c r="AF1183" s="507"/>
      <c r="AG1183" s="507"/>
      <c r="AH1183" s="507"/>
    </row>
    <row r="1184" spans="1:34" ht="31.5">
      <c r="A1184" s="310"/>
      <c r="B1184" s="310"/>
      <c r="C1184" s="306"/>
      <c r="D1184" s="225" t="s">
        <v>1874</v>
      </c>
      <c r="E1184" s="292"/>
      <c r="F1184" s="335"/>
      <c r="G1184" s="292"/>
      <c r="H1184" s="427">
        <v>3110</v>
      </c>
      <c r="I1184" s="322">
        <v>96500</v>
      </c>
      <c r="J1184" s="322"/>
      <c r="K1184" s="551"/>
      <c r="L1184" s="322"/>
      <c r="M1184" s="322"/>
      <c r="N1184" s="439"/>
      <c r="O1184" s="439"/>
      <c r="P1184" s="439"/>
      <c r="Q1184" s="439"/>
      <c r="R1184" s="439"/>
      <c r="S1184" s="439"/>
      <c r="T1184" s="439"/>
      <c r="U1184" s="439"/>
      <c r="V1184" s="439"/>
      <c r="W1184" s="439"/>
      <c r="X1184" s="439">
        <v>96500</v>
      </c>
      <c r="Y1184" s="439"/>
      <c r="Z1184" s="439"/>
      <c r="AA1184" s="407">
        <f t="shared" si="151"/>
        <v>96500</v>
      </c>
      <c r="AC1184" s="499"/>
      <c r="AD1184" s="512"/>
      <c r="AE1184" s="507"/>
      <c r="AF1184" s="507"/>
      <c r="AG1184" s="507"/>
      <c r="AH1184" s="507"/>
    </row>
    <row r="1185" spans="1:62" s="98" customFormat="1" ht="19.5" customHeight="1">
      <c r="A1185" s="580" t="s">
        <v>584</v>
      </c>
      <c r="B1185" s="580"/>
      <c r="C1185" s="580"/>
      <c r="D1185" s="580"/>
      <c r="E1185" s="580"/>
      <c r="F1185" s="580"/>
      <c r="G1185" s="580"/>
      <c r="H1185" s="433"/>
      <c r="I1185" s="299">
        <f aca="true" t="shared" si="159" ref="I1185:Z1185">I1145+I1135+I841+I698+I649+I501+I98+I83+I19</f>
        <v>190399225.49</v>
      </c>
      <c r="J1185" s="299">
        <f t="shared" si="159"/>
        <v>1294362</v>
      </c>
      <c r="K1185" s="299">
        <f t="shared" si="159"/>
        <v>30000</v>
      </c>
      <c r="L1185" s="299">
        <f t="shared" si="159"/>
        <v>91598995.84</v>
      </c>
      <c r="M1185" s="299">
        <f t="shared" si="159"/>
        <v>103425334.14</v>
      </c>
      <c r="N1185" s="299">
        <f t="shared" si="159"/>
        <v>0</v>
      </c>
      <c r="O1185" s="299">
        <f t="shared" si="159"/>
        <v>10548885.09</v>
      </c>
      <c r="P1185" s="299">
        <f t="shared" si="159"/>
        <v>51429</v>
      </c>
      <c r="Q1185" s="299">
        <f t="shared" si="159"/>
        <v>9745770.76</v>
      </c>
      <c r="R1185" s="299">
        <f t="shared" si="159"/>
        <v>30658768.94</v>
      </c>
      <c r="S1185" s="299">
        <f t="shared" si="159"/>
        <v>28968231.2</v>
      </c>
      <c r="T1185" s="299">
        <f t="shared" si="159"/>
        <v>27944597.88</v>
      </c>
      <c r="U1185" s="299">
        <f t="shared" si="159"/>
        <v>31998172.49</v>
      </c>
      <c r="V1185" s="299">
        <f t="shared" si="159"/>
        <v>15517827.97</v>
      </c>
      <c r="W1185" s="299">
        <f t="shared" si="159"/>
        <v>13889139.67</v>
      </c>
      <c r="X1185" s="299">
        <f t="shared" si="159"/>
        <v>12974848.49</v>
      </c>
      <c r="Y1185" s="299">
        <f t="shared" si="159"/>
        <v>8101554</v>
      </c>
      <c r="Z1185" s="299">
        <f t="shared" si="159"/>
        <v>64986754.35</v>
      </c>
      <c r="AA1185" s="407">
        <f t="shared" si="151"/>
        <v>117310917.14</v>
      </c>
      <c r="AB1185" s="104"/>
      <c r="AC1185" s="505"/>
      <c r="AD1185" s="512"/>
      <c r="AE1185" s="507"/>
      <c r="AF1185" s="507"/>
      <c r="AG1185" s="507"/>
      <c r="AH1185" s="507"/>
      <c r="AI1185" s="104"/>
      <c r="AJ1185" s="104"/>
      <c r="AK1185" s="104"/>
      <c r="AL1185" s="104"/>
      <c r="AM1185" s="104"/>
      <c r="AN1185" s="104"/>
      <c r="AO1185" s="104"/>
      <c r="AP1185" s="104"/>
      <c r="AQ1185" s="104"/>
      <c r="AR1185" s="104"/>
      <c r="AS1185" s="104"/>
      <c r="AT1185" s="104"/>
      <c r="AU1185" s="104"/>
      <c r="AV1185" s="104"/>
      <c r="AW1185" s="104"/>
      <c r="AX1185" s="104"/>
      <c r="AY1185" s="104"/>
      <c r="AZ1185" s="104"/>
      <c r="BA1185" s="104"/>
      <c r="BB1185" s="104"/>
      <c r="BC1185" s="104"/>
      <c r="BD1185" s="104"/>
      <c r="BE1185" s="104"/>
      <c r="BF1185" s="104"/>
      <c r="BG1185" s="104"/>
      <c r="BH1185" s="104"/>
      <c r="BI1185" s="104"/>
      <c r="BJ1185" s="104"/>
    </row>
    <row r="1186" spans="1:34" ht="67.5" customHeight="1">
      <c r="A1186" s="410">
        <v>250903</v>
      </c>
      <c r="B1186" s="409" t="s">
        <v>950</v>
      </c>
      <c r="C1186" s="408"/>
      <c r="D1186" s="409" t="s">
        <v>1991</v>
      </c>
      <c r="E1186" s="410"/>
      <c r="F1186" s="410"/>
      <c r="G1186" s="410"/>
      <c r="H1186" s="436">
        <v>4113</v>
      </c>
      <c r="I1186" s="411">
        <v>15408500</v>
      </c>
      <c r="J1186" s="411"/>
      <c r="K1186" s="439"/>
      <c r="L1186" s="411"/>
      <c r="M1186" s="411"/>
      <c r="N1186" s="439"/>
      <c r="O1186" s="439"/>
      <c r="P1186" s="439">
        <v>4032650</v>
      </c>
      <c r="Q1186" s="439">
        <v>3671600</v>
      </c>
      <c r="R1186" s="439"/>
      <c r="S1186" s="439"/>
      <c r="T1186" s="439"/>
      <c r="U1186" s="439"/>
      <c r="V1186" s="439">
        <v>4032650</v>
      </c>
      <c r="W1186" s="439">
        <v>3671600</v>
      </c>
      <c r="X1186" s="439"/>
      <c r="Y1186" s="439"/>
      <c r="Z1186" s="407"/>
      <c r="AA1186" s="407">
        <f t="shared" si="151"/>
        <v>15408500</v>
      </c>
      <c r="AC1186" s="499"/>
      <c r="AD1186" s="512"/>
      <c r="AE1186" s="507"/>
      <c r="AF1186" s="507"/>
      <c r="AG1186" s="507"/>
      <c r="AH1186" s="507"/>
    </row>
    <row r="1187" spans="1:34" s="460" customFormat="1" ht="40.5" customHeight="1">
      <c r="A1187" s="673" t="s">
        <v>1992</v>
      </c>
      <c r="B1187" s="673"/>
      <c r="C1187" s="673"/>
      <c r="D1187" s="673"/>
      <c r="E1187" s="412"/>
      <c r="F1187" s="412"/>
      <c r="G1187" s="412"/>
      <c r="H1187" s="434"/>
      <c r="I1187" s="413">
        <f>I1186+I1185</f>
        <v>205807725.49</v>
      </c>
      <c r="J1187" s="413"/>
      <c r="K1187" s="413"/>
      <c r="L1187" s="413"/>
      <c r="M1187" s="413"/>
      <c r="N1187" s="413">
        <f>N1186+N1185</f>
        <v>0</v>
      </c>
      <c r="O1187" s="413">
        <f aca="true" t="shared" si="160" ref="O1187:Z1187">O1186+O1185</f>
        <v>10548885.09</v>
      </c>
      <c r="P1187" s="413">
        <f t="shared" si="160"/>
        <v>4084079</v>
      </c>
      <c r="Q1187" s="413">
        <f t="shared" si="160"/>
        <v>13417370.76</v>
      </c>
      <c r="R1187" s="413">
        <f t="shared" si="160"/>
        <v>30658768.94</v>
      </c>
      <c r="S1187" s="413">
        <f t="shared" si="160"/>
        <v>28968231.2</v>
      </c>
      <c r="T1187" s="413">
        <f t="shared" si="160"/>
        <v>27944597.88</v>
      </c>
      <c r="U1187" s="413">
        <f t="shared" si="160"/>
        <v>31998172.49</v>
      </c>
      <c r="V1187" s="413">
        <f t="shared" si="160"/>
        <v>19550477.97</v>
      </c>
      <c r="W1187" s="413">
        <f t="shared" si="160"/>
        <v>17560739.67</v>
      </c>
      <c r="X1187" s="413">
        <f t="shared" si="160"/>
        <v>12974848.49</v>
      </c>
      <c r="Y1187" s="413">
        <f t="shared" si="160"/>
        <v>8101554</v>
      </c>
      <c r="Z1187" s="413">
        <f t="shared" si="160"/>
        <v>64986754.35</v>
      </c>
      <c r="AA1187" s="407">
        <f t="shared" si="151"/>
        <v>132719417.14</v>
      </c>
      <c r="AC1187" s="506"/>
      <c r="AD1187" s="512"/>
      <c r="AE1187" s="507"/>
      <c r="AF1187" s="507"/>
      <c r="AG1187" s="507"/>
      <c r="AH1187" s="507"/>
    </row>
    <row r="1188" ht="15.75">
      <c r="K1188" s="387"/>
    </row>
    <row r="1189" spans="10:25" ht="15.75">
      <c r="J1189" s="397"/>
      <c r="K1189" s="397"/>
      <c r="L1189" s="397"/>
      <c r="M1189" s="397"/>
      <c r="N1189" s="397"/>
      <c r="O1189" s="397"/>
      <c r="P1189" s="397"/>
      <c r="Q1189" s="397"/>
      <c r="R1189" s="397"/>
      <c r="S1189" s="397"/>
      <c r="T1189" s="397"/>
      <c r="U1189" s="397"/>
      <c r="V1189" s="397"/>
      <c r="W1189" s="397"/>
      <c r="X1189" s="397"/>
      <c r="Y1189" s="397"/>
    </row>
    <row r="1190" ht="15.75">
      <c r="K1190" s="387"/>
    </row>
    <row r="1191" spans="11:25" ht="15.75">
      <c r="K1191" s="387"/>
      <c r="N1191" s="25"/>
      <c r="O1191" s="25"/>
      <c r="P1191" s="25"/>
      <c r="Q1191" s="25"/>
      <c r="R1191" s="25"/>
      <c r="S1191" s="25"/>
      <c r="T1191" s="25"/>
      <c r="U1191" s="25"/>
      <c r="V1191" s="25"/>
      <c r="W1191" s="25"/>
      <c r="X1191" s="25"/>
      <c r="Y1191" s="25"/>
    </row>
    <row r="1192" ht="15.75">
      <c r="K1192" s="387"/>
    </row>
    <row r="1193" spans="11:14" ht="15.75">
      <c r="K1193" s="387"/>
      <c r="N1193" s="387"/>
    </row>
    <row r="1194" ht="15.75">
      <c r="K1194" s="387"/>
    </row>
    <row r="1195" ht="15.75">
      <c r="K1195" s="387"/>
    </row>
    <row r="1196" ht="15.75">
      <c r="K1196" s="387"/>
    </row>
    <row r="1197" ht="15.75">
      <c r="K1197" s="387"/>
    </row>
    <row r="1198" ht="15.75">
      <c r="K1198" s="387"/>
    </row>
    <row r="1199" ht="15.75">
      <c r="K1199" s="387"/>
    </row>
    <row r="1200" ht="15.75">
      <c r="K1200" s="387"/>
    </row>
    <row r="1201" ht="15.75">
      <c r="K1201" s="387"/>
    </row>
    <row r="1202" ht="15.75">
      <c r="K1202" s="387"/>
    </row>
    <row r="1203" ht="15.75">
      <c r="K1203" s="387"/>
    </row>
    <row r="1204" ht="15.75">
      <c r="K1204" s="387"/>
    </row>
    <row r="1205" ht="15.75">
      <c r="K1205" s="387"/>
    </row>
    <row r="1206" ht="15.75">
      <c r="K1206" s="387"/>
    </row>
    <row r="1207" ht="15.75">
      <c r="K1207" s="387"/>
    </row>
    <row r="1208" ht="15.75">
      <c r="K1208" s="387"/>
    </row>
    <row r="1209" ht="15.75">
      <c r="K1209" s="387"/>
    </row>
    <row r="1210" ht="15.75">
      <c r="K1210" s="387"/>
    </row>
    <row r="1211" ht="15.75">
      <c r="K1211" s="387"/>
    </row>
    <row r="1212" ht="15.75">
      <c r="K1212" s="387"/>
    </row>
    <row r="1213" ht="15.75">
      <c r="K1213" s="387"/>
    </row>
    <row r="1214" ht="15.75">
      <c r="K1214" s="387"/>
    </row>
    <row r="1215" ht="15.75">
      <c r="K1215" s="387"/>
    </row>
    <row r="1216" ht="15.75">
      <c r="K1216" s="387"/>
    </row>
    <row r="1217" ht="15.75">
      <c r="K1217" s="387"/>
    </row>
    <row r="1218" ht="15.75">
      <c r="K1218" s="387"/>
    </row>
    <row r="1219" ht="15.75">
      <c r="K1219" s="387"/>
    </row>
    <row r="1220" ht="15.75">
      <c r="K1220" s="387"/>
    </row>
    <row r="1221" ht="15.75">
      <c r="K1221" s="387"/>
    </row>
    <row r="1222" ht="15.75">
      <c r="K1222" s="387"/>
    </row>
    <row r="1223" ht="15.75">
      <c r="K1223" s="387"/>
    </row>
    <row r="1224" ht="15.75">
      <c r="K1224" s="387"/>
    </row>
    <row r="1225" ht="15.75">
      <c r="K1225" s="387"/>
    </row>
    <row r="1226" ht="15.75">
      <c r="K1226" s="387"/>
    </row>
    <row r="1227" ht="15.75">
      <c r="K1227" s="387"/>
    </row>
    <row r="1228" ht="15.75">
      <c r="K1228" s="387"/>
    </row>
    <row r="1229" ht="15.75">
      <c r="K1229" s="387"/>
    </row>
    <row r="1230" ht="15.75">
      <c r="K1230" s="387"/>
    </row>
    <row r="1231" ht="15.75">
      <c r="K1231" s="387"/>
    </row>
    <row r="1232" ht="15.75">
      <c r="K1232" s="387"/>
    </row>
    <row r="1233" ht="15.75">
      <c r="K1233" s="387"/>
    </row>
    <row r="1234" ht="15.75">
      <c r="K1234" s="387"/>
    </row>
    <row r="1235" ht="15.75">
      <c r="K1235" s="387"/>
    </row>
    <row r="1236" ht="15.75">
      <c r="K1236" s="387"/>
    </row>
    <row r="1237" ht="15.75">
      <c r="K1237" s="387"/>
    </row>
    <row r="1238" ht="15.75">
      <c r="K1238" s="387"/>
    </row>
    <row r="1239" ht="15.75">
      <c r="K1239" s="387"/>
    </row>
    <row r="1240" ht="15.75">
      <c r="K1240" s="387"/>
    </row>
    <row r="1241" ht="15.75">
      <c r="K1241" s="387"/>
    </row>
    <row r="1242" ht="15.75">
      <c r="K1242" s="387"/>
    </row>
    <row r="1243" ht="15.75">
      <c r="K1243" s="387"/>
    </row>
    <row r="1244" ht="15.75">
      <c r="K1244" s="387"/>
    </row>
    <row r="1245" ht="15.75">
      <c r="K1245" s="387"/>
    </row>
    <row r="1246" ht="15.75">
      <c r="K1246" s="387"/>
    </row>
    <row r="1247" ht="15.75">
      <c r="K1247" s="387"/>
    </row>
    <row r="1248" ht="15.75">
      <c r="K1248" s="387"/>
    </row>
    <row r="1249" ht="15.75">
      <c r="K1249" s="387"/>
    </row>
    <row r="1250" ht="15.75">
      <c r="K1250" s="387"/>
    </row>
    <row r="1251" ht="15.75">
      <c r="K1251" s="387"/>
    </row>
    <row r="1252" ht="15.75">
      <c r="K1252" s="387"/>
    </row>
    <row r="1253" ht="15.75">
      <c r="K1253" s="387"/>
    </row>
    <row r="1254" ht="15.75">
      <c r="K1254" s="387"/>
    </row>
    <row r="1255" ht="15.75">
      <c r="K1255" s="387"/>
    </row>
    <row r="1256" ht="15.75">
      <c r="K1256" s="387"/>
    </row>
    <row r="1257" ht="15.75">
      <c r="K1257" s="387"/>
    </row>
    <row r="1258" ht="15.75">
      <c r="K1258" s="387"/>
    </row>
    <row r="1259" ht="15.75">
      <c r="K1259" s="387"/>
    </row>
    <row r="1260" ht="15.75">
      <c r="K1260" s="387"/>
    </row>
    <row r="1261" ht="15.75">
      <c r="K1261" s="387"/>
    </row>
    <row r="1262" ht="15.75">
      <c r="K1262" s="387"/>
    </row>
    <row r="1263" ht="15.75">
      <c r="K1263" s="387"/>
    </row>
    <row r="1264" ht="15.75">
      <c r="K1264" s="387"/>
    </row>
    <row r="1265" ht="15.75">
      <c r="K1265" s="387"/>
    </row>
    <row r="1266" ht="15.75">
      <c r="K1266" s="387"/>
    </row>
    <row r="1267" ht="15.75">
      <c r="K1267" s="387"/>
    </row>
    <row r="1268" ht="15.75">
      <c r="K1268" s="387"/>
    </row>
    <row r="1269" ht="15.75">
      <c r="K1269" s="387"/>
    </row>
    <row r="1270" ht="15.75">
      <c r="K1270" s="387"/>
    </row>
    <row r="1271" ht="15.75">
      <c r="K1271" s="387"/>
    </row>
    <row r="1272" ht="15.75">
      <c r="K1272" s="387"/>
    </row>
    <row r="1273" ht="15.75">
      <c r="K1273" s="387"/>
    </row>
    <row r="1274" ht="15.75">
      <c r="K1274" s="387"/>
    </row>
    <row r="1275" ht="15.75">
      <c r="K1275" s="387"/>
    </row>
    <row r="1276" ht="15.75">
      <c r="K1276" s="387"/>
    </row>
    <row r="1277" ht="15.75">
      <c r="K1277" s="387"/>
    </row>
    <row r="1278" ht="15.75">
      <c r="K1278" s="387"/>
    </row>
    <row r="1279" ht="15.75">
      <c r="K1279" s="387"/>
    </row>
    <row r="1280" ht="15.75">
      <c r="K1280" s="387"/>
    </row>
    <row r="1281" ht="15.75">
      <c r="K1281" s="387"/>
    </row>
    <row r="1282" ht="15.75">
      <c r="K1282" s="387"/>
    </row>
    <row r="1283" ht="15.75">
      <c r="K1283" s="387"/>
    </row>
    <row r="1284" ht="15.75">
      <c r="K1284" s="387"/>
    </row>
    <row r="1285" ht="15.75">
      <c r="K1285" s="387"/>
    </row>
    <row r="1286" ht="15.75">
      <c r="K1286" s="387"/>
    </row>
    <row r="1287" ht="15.75">
      <c r="K1287" s="387"/>
    </row>
    <row r="1288" ht="15.75">
      <c r="K1288" s="387"/>
    </row>
    <row r="1289" ht="15.75">
      <c r="K1289" s="387"/>
    </row>
    <row r="1290" ht="15.75">
      <c r="K1290" s="387"/>
    </row>
    <row r="1291" ht="15.75">
      <c r="K1291" s="387"/>
    </row>
    <row r="1292" ht="15.75">
      <c r="K1292" s="387"/>
    </row>
    <row r="1293" ht="15.75">
      <c r="K1293" s="387"/>
    </row>
    <row r="1294" ht="15.75">
      <c r="K1294" s="387"/>
    </row>
    <row r="1295" ht="15.75">
      <c r="K1295" s="387"/>
    </row>
    <row r="1296" ht="15.75">
      <c r="K1296" s="387"/>
    </row>
    <row r="1297" ht="15.75">
      <c r="K1297" s="387"/>
    </row>
    <row r="1298" ht="15.75">
      <c r="K1298" s="387"/>
    </row>
    <row r="1299" ht="15.75">
      <c r="K1299" s="387"/>
    </row>
    <row r="1300" ht="15.75">
      <c r="K1300" s="387"/>
    </row>
    <row r="1301" ht="15.75">
      <c r="K1301" s="387"/>
    </row>
    <row r="1302" ht="15.75">
      <c r="K1302" s="387"/>
    </row>
    <row r="1303" ht="15.75">
      <c r="K1303" s="387"/>
    </row>
    <row r="1304" ht="15.75">
      <c r="K1304" s="387"/>
    </row>
    <row r="1305" ht="15.75">
      <c r="K1305" s="387"/>
    </row>
    <row r="1306" ht="15.75">
      <c r="K1306" s="387"/>
    </row>
    <row r="1307" ht="15.75">
      <c r="K1307" s="387"/>
    </row>
    <row r="1308" ht="15.75">
      <c r="K1308" s="387"/>
    </row>
    <row r="1309" ht="15.75">
      <c r="K1309" s="387"/>
    </row>
    <row r="1310" ht="15.75">
      <c r="K1310" s="387"/>
    </row>
    <row r="1311" ht="15.75">
      <c r="K1311" s="387"/>
    </row>
    <row r="1312" ht="15.75">
      <c r="K1312" s="387"/>
    </row>
    <row r="1313" ht="15.75">
      <c r="K1313" s="387"/>
    </row>
    <row r="1314" ht="15.75">
      <c r="K1314" s="387"/>
    </row>
    <row r="1315" ht="15.75">
      <c r="K1315" s="387"/>
    </row>
    <row r="1316" ht="15.75">
      <c r="K1316" s="387"/>
    </row>
    <row r="1317" ht="15.75">
      <c r="K1317" s="387"/>
    </row>
    <row r="1318" ht="15.75">
      <c r="K1318" s="387"/>
    </row>
    <row r="1319" ht="15.75">
      <c r="K1319" s="387"/>
    </row>
    <row r="1320" ht="15.75">
      <c r="K1320" s="387"/>
    </row>
    <row r="1321" ht="15.75">
      <c r="K1321" s="387"/>
    </row>
    <row r="1322" ht="15.75">
      <c r="K1322" s="387"/>
    </row>
    <row r="1323" ht="15.75">
      <c r="K1323" s="387"/>
    </row>
    <row r="1324" ht="15.75">
      <c r="K1324" s="387"/>
    </row>
    <row r="1325" ht="15.75">
      <c r="K1325" s="387"/>
    </row>
    <row r="1326" ht="15.75">
      <c r="K1326" s="387"/>
    </row>
    <row r="1327" ht="15.75">
      <c r="K1327" s="387"/>
    </row>
    <row r="1328" ht="15.75">
      <c r="K1328" s="387"/>
    </row>
    <row r="1329" ht="15.75">
      <c r="K1329" s="387"/>
    </row>
    <row r="1330" ht="15.75">
      <c r="K1330" s="387"/>
    </row>
    <row r="1331" ht="15.75">
      <c r="K1331" s="387"/>
    </row>
    <row r="1332" ht="15.75">
      <c r="K1332" s="387"/>
    </row>
    <row r="1333" ht="15.75">
      <c r="K1333" s="387"/>
    </row>
    <row r="1334" ht="15.75">
      <c r="K1334" s="387"/>
    </row>
    <row r="1335" ht="15.75">
      <c r="K1335" s="387"/>
    </row>
    <row r="1336" ht="15.75">
      <c r="K1336" s="387"/>
    </row>
    <row r="1337" ht="15.75">
      <c r="K1337" s="387"/>
    </row>
    <row r="1338" ht="15.75">
      <c r="K1338" s="387"/>
    </row>
    <row r="1339" ht="15.75">
      <c r="K1339" s="387"/>
    </row>
    <row r="1340" ht="15.75">
      <c r="K1340" s="387"/>
    </row>
    <row r="1341" ht="15.75">
      <c r="K1341" s="387"/>
    </row>
    <row r="1342" ht="15.75">
      <c r="K1342" s="387"/>
    </row>
    <row r="1343" ht="15.75">
      <c r="K1343" s="387"/>
    </row>
    <row r="1344" ht="15.75">
      <c r="K1344" s="387"/>
    </row>
    <row r="1345" ht="15.75">
      <c r="K1345" s="387"/>
    </row>
    <row r="1346" ht="15.75">
      <c r="K1346" s="387"/>
    </row>
    <row r="1347" ht="15.75">
      <c r="K1347" s="387"/>
    </row>
    <row r="1348" ht="15.75">
      <c r="K1348" s="387"/>
    </row>
    <row r="1349" ht="15.75">
      <c r="K1349" s="387"/>
    </row>
    <row r="1350" ht="15.75">
      <c r="K1350" s="387"/>
    </row>
    <row r="1351" ht="15.75">
      <c r="K1351" s="387"/>
    </row>
    <row r="1352" ht="15.75">
      <c r="K1352" s="387"/>
    </row>
    <row r="1353" ht="15.75">
      <c r="K1353" s="387"/>
    </row>
    <row r="1354" ht="15.75">
      <c r="K1354" s="387"/>
    </row>
    <row r="1355" ht="15.75">
      <c r="K1355" s="387"/>
    </row>
    <row r="1356" ht="15.75">
      <c r="K1356" s="387"/>
    </row>
    <row r="1357" ht="15.75">
      <c r="K1357" s="387"/>
    </row>
    <row r="1358" ht="15.75">
      <c r="K1358" s="387"/>
    </row>
    <row r="1359" ht="15.75">
      <c r="K1359" s="387"/>
    </row>
    <row r="1360" ht="15.75">
      <c r="K1360" s="387"/>
    </row>
    <row r="1361" ht="15.75">
      <c r="K1361" s="387"/>
    </row>
    <row r="1362" ht="15.75">
      <c r="K1362" s="387"/>
    </row>
    <row r="1363" ht="15.75">
      <c r="K1363" s="387"/>
    </row>
    <row r="1364" ht="15.75">
      <c r="K1364" s="387"/>
    </row>
    <row r="1365" ht="15.75">
      <c r="K1365" s="387"/>
    </row>
    <row r="1366" ht="15.75">
      <c r="K1366" s="387"/>
    </row>
    <row r="1367" ht="15.75">
      <c r="K1367" s="387"/>
    </row>
    <row r="1368" ht="15.75">
      <c r="K1368" s="387"/>
    </row>
    <row r="1369" ht="15.75">
      <c r="K1369" s="387"/>
    </row>
    <row r="1370" ht="15.75">
      <c r="K1370" s="387"/>
    </row>
    <row r="1371" ht="15.75">
      <c r="K1371" s="387"/>
    </row>
    <row r="1372" ht="15.75">
      <c r="K1372" s="387"/>
    </row>
    <row r="1373" ht="15.75">
      <c r="K1373" s="387"/>
    </row>
    <row r="1374" ht="15.75">
      <c r="K1374" s="387"/>
    </row>
    <row r="1375" ht="15.75">
      <c r="K1375" s="387"/>
    </row>
    <row r="1376" ht="15.75">
      <c r="K1376" s="387"/>
    </row>
    <row r="1377" ht="15.75">
      <c r="K1377" s="387"/>
    </row>
    <row r="1378" ht="15.75">
      <c r="K1378" s="387"/>
    </row>
    <row r="1379" ht="15.75">
      <c r="K1379" s="387"/>
    </row>
    <row r="1380" ht="15.75">
      <c r="K1380" s="387"/>
    </row>
    <row r="1381" ht="15.75">
      <c r="K1381" s="387"/>
    </row>
    <row r="1382" ht="15.75">
      <c r="K1382" s="387"/>
    </row>
    <row r="1383" ht="15.75">
      <c r="K1383" s="387"/>
    </row>
    <row r="1384" ht="15.75">
      <c r="K1384" s="387"/>
    </row>
    <row r="1385" ht="15.75">
      <c r="K1385" s="387"/>
    </row>
    <row r="1386" ht="15.75">
      <c r="K1386" s="387"/>
    </row>
    <row r="1387" ht="15.75">
      <c r="K1387" s="387"/>
    </row>
    <row r="1388" ht="15.75">
      <c r="K1388" s="387"/>
    </row>
    <row r="1389" ht="15.75">
      <c r="K1389" s="387"/>
    </row>
    <row r="1390" ht="15.75">
      <c r="K1390" s="387"/>
    </row>
    <row r="1391" ht="15.75">
      <c r="K1391" s="387"/>
    </row>
    <row r="1392" ht="15.75">
      <c r="K1392" s="387"/>
    </row>
    <row r="1393" ht="15.75">
      <c r="K1393" s="387"/>
    </row>
    <row r="1394" ht="15.75">
      <c r="K1394" s="387"/>
    </row>
    <row r="1395" ht="15.75">
      <c r="K1395" s="387"/>
    </row>
    <row r="1396" ht="15.75">
      <c r="K1396" s="387"/>
    </row>
    <row r="1397" ht="15.75">
      <c r="K1397" s="387"/>
    </row>
    <row r="1398" ht="15.75">
      <c r="K1398" s="387"/>
    </row>
    <row r="1399" ht="15.75">
      <c r="K1399" s="387"/>
    </row>
    <row r="1400" ht="15.75">
      <c r="K1400" s="387"/>
    </row>
    <row r="1401" ht="15.75">
      <c r="K1401" s="387"/>
    </row>
    <row r="1402" ht="15.75">
      <c r="K1402" s="387"/>
    </row>
    <row r="1403" ht="15.75">
      <c r="K1403" s="387"/>
    </row>
    <row r="1404" ht="15.75">
      <c r="K1404" s="387"/>
    </row>
    <row r="1405" ht="15.75">
      <c r="K1405" s="387"/>
    </row>
    <row r="1406" ht="15.75">
      <c r="K1406" s="387"/>
    </row>
    <row r="1407" ht="15.75">
      <c r="K1407" s="387"/>
    </row>
    <row r="1408" ht="15.75">
      <c r="K1408" s="387"/>
    </row>
    <row r="1409" ht="15.75">
      <c r="K1409" s="387"/>
    </row>
    <row r="1410" ht="15.75">
      <c r="K1410" s="387"/>
    </row>
    <row r="1411" ht="15.75">
      <c r="K1411" s="387"/>
    </row>
    <row r="1412" ht="15.75">
      <c r="K1412" s="387"/>
    </row>
    <row r="1413" ht="15.75">
      <c r="K1413" s="387"/>
    </row>
    <row r="1414" ht="15.75">
      <c r="K1414" s="387"/>
    </row>
    <row r="1415" ht="15.75">
      <c r="K1415" s="387"/>
    </row>
    <row r="1416" ht="15.75">
      <c r="K1416" s="387"/>
    </row>
    <row r="1417" ht="15.75">
      <c r="K1417" s="387"/>
    </row>
    <row r="1418" ht="15.75">
      <c r="K1418" s="387"/>
    </row>
    <row r="1419" ht="15.75">
      <c r="K1419" s="387"/>
    </row>
    <row r="1420" ht="15.75">
      <c r="K1420" s="387"/>
    </row>
    <row r="1421" ht="15.75">
      <c r="K1421" s="387"/>
    </row>
    <row r="1422" ht="15.75">
      <c r="K1422" s="387"/>
    </row>
    <row r="1423" ht="15.75">
      <c r="K1423" s="387"/>
    </row>
    <row r="1424" ht="15.75">
      <c r="K1424" s="387"/>
    </row>
    <row r="1425" ht="15.75">
      <c r="K1425" s="387"/>
    </row>
    <row r="1426" ht="15.75">
      <c r="K1426" s="387"/>
    </row>
    <row r="1427" ht="15.75">
      <c r="K1427" s="387"/>
    </row>
    <row r="1428" ht="15.75">
      <c r="K1428" s="387"/>
    </row>
    <row r="1429" ht="15.75">
      <c r="K1429" s="387"/>
    </row>
    <row r="1430" ht="15.75">
      <c r="K1430" s="387"/>
    </row>
    <row r="1431" ht="15.75">
      <c r="K1431" s="387"/>
    </row>
    <row r="1432" ht="15.75">
      <c r="K1432" s="387"/>
    </row>
    <row r="1433" ht="15.75">
      <c r="K1433" s="387"/>
    </row>
    <row r="1434" ht="15.75">
      <c r="K1434" s="387"/>
    </row>
    <row r="1435" ht="15.75">
      <c r="K1435" s="387"/>
    </row>
    <row r="1436" ht="15.75">
      <c r="K1436" s="387"/>
    </row>
    <row r="1437" ht="15.75">
      <c r="K1437" s="387"/>
    </row>
    <row r="1438" ht="15.75">
      <c r="K1438" s="387"/>
    </row>
    <row r="1439" ht="15.75">
      <c r="K1439" s="387"/>
    </row>
    <row r="1440" ht="15.75">
      <c r="K1440" s="387"/>
    </row>
    <row r="1441" ht="15.75">
      <c r="K1441" s="387"/>
    </row>
    <row r="1442" ht="15.75">
      <c r="K1442" s="387"/>
    </row>
    <row r="1443" ht="15.75">
      <c r="K1443" s="387"/>
    </row>
    <row r="1444" ht="15.75">
      <c r="K1444" s="387"/>
    </row>
    <row r="1445" ht="15.75">
      <c r="K1445" s="387"/>
    </row>
    <row r="1446" ht="15.75">
      <c r="K1446" s="387"/>
    </row>
    <row r="1447" ht="15.75">
      <c r="K1447" s="387"/>
    </row>
    <row r="1448" ht="15.75">
      <c r="K1448" s="387"/>
    </row>
    <row r="1449" ht="15.75">
      <c r="K1449" s="387"/>
    </row>
    <row r="1450" ht="15.75">
      <c r="K1450" s="387"/>
    </row>
    <row r="1451" ht="15.75">
      <c r="K1451" s="387"/>
    </row>
    <row r="1452" ht="15.75">
      <c r="K1452" s="387"/>
    </row>
    <row r="1453" ht="15.75">
      <c r="K1453" s="387"/>
    </row>
    <row r="1454" ht="15.75">
      <c r="K1454" s="387"/>
    </row>
    <row r="1455" ht="15.75">
      <c r="K1455" s="387"/>
    </row>
    <row r="1456" ht="15.75">
      <c r="K1456" s="387"/>
    </row>
    <row r="1457" ht="15.75">
      <c r="K1457" s="387"/>
    </row>
    <row r="1458" ht="15.75">
      <c r="K1458" s="387"/>
    </row>
    <row r="1459" ht="15.75">
      <c r="K1459" s="387"/>
    </row>
    <row r="1460" ht="15.75">
      <c r="K1460" s="387"/>
    </row>
    <row r="1461" ht="15.75">
      <c r="K1461" s="387"/>
    </row>
    <row r="1462" ht="15.75">
      <c r="K1462" s="387"/>
    </row>
    <row r="1463" ht="15.75">
      <c r="K1463" s="387"/>
    </row>
    <row r="1464" ht="15.75">
      <c r="K1464" s="387"/>
    </row>
    <row r="1465" ht="15.75">
      <c r="K1465" s="387"/>
    </row>
    <row r="1466" ht="15.75">
      <c r="K1466" s="387"/>
    </row>
    <row r="1467" ht="15.75">
      <c r="K1467" s="387"/>
    </row>
    <row r="1468" ht="15.75">
      <c r="K1468" s="387"/>
    </row>
    <row r="1469" ht="15.75">
      <c r="K1469" s="387"/>
    </row>
    <row r="1470" ht="15.75">
      <c r="K1470" s="387"/>
    </row>
    <row r="1471" ht="15.75">
      <c r="K1471" s="387"/>
    </row>
    <row r="1472" ht="15.75">
      <c r="K1472" s="387"/>
    </row>
    <row r="1473" ht="15.75">
      <c r="K1473" s="387"/>
    </row>
    <row r="1474" ht="15.75">
      <c r="K1474" s="387"/>
    </row>
    <row r="1475" ht="15.75">
      <c r="K1475" s="387"/>
    </row>
    <row r="1476" ht="15.75">
      <c r="K1476" s="387"/>
    </row>
    <row r="1477" ht="15.75">
      <c r="K1477" s="387"/>
    </row>
    <row r="1478" ht="15.75">
      <c r="K1478" s="387"/>
    </row>
    <row r="1479" ht="15.75">
      <c r="K1479" s="387"/>
    </row>
    <row r="1480" ht="15.75">
      <c r="K1480" s="387"/>
    </row>
    <row r="1481" ht="15.75">
      <c r="K1481" s="387"/>
    </row>
    <row r="1482" ht="15.75">
      <c r="K1482" s="387"/>
    </row>
    <row r="1483" ht="15.75">
      <c r="K1483" s="387"/>
    </row>
    <row r="1484" ht="15.75">
      <c r="K1484" s="387"/>
    </row>
    <row r="1485" ht="15.75">
      <c r="K1485" s="387"/>
    </row>
    <row r="1486" ht="15.75">
      <c r="K1486" s="387"/>
    </row>
    <row r="1487" ht="15.75">
      <c r="K1487" s="387"/>
    </row>
    <row r="1488" ht="15.75">
      <c r="K1488" s="387"/>
    </row>
    <row r="1489" ht="15.75">
      <c r="K1489" s="387"/>
    </row>
    <row r="1490" ht="15.75">
      <c r="K1490" s="387"/>
    </row>
    <row r="1491" ht="15.75">
      <c r="K1491" s="387"/>
    </row>
    <row r="1492" ht="15.75">
      <c r="K1492" s="387"/>
    </row>
    <row r="1493" ht="15.75">
      <c r="K1493" s="387"/>
    </row>
    <row r="1494" ht="15.75">
      <c r="K1494" s="387"/>
    </row>
    <row r="1495" ht="15.75">
      <c r="K1495" s="387"/>
    </row>
    <row r="1496" ht="15.75">
      <c r="K1496" s="387"/>
    </row>
    <row r="1497" ht="15.75">
      <c r="K1497" s="387"/>
    </row>
    <row r="1498" ht="15.75">
      <c r="K1498" s="387"/>
    </row>
    <row r="1499" ht="15.75">
      <c r="K1499" s="387"/>
    </row>
    <row r="1500" ht="15.75">
      <c r="K1500" s="387"/>
    </row>
    <row r="1501" ht="15.75">
      <c r="K1501" s="387"/>
    </row>
    <row r="1502" ht="15.75">
      <c r="K1502" s="387"/>
    </row>
    <row r="1503" ht="15.75">
      <c r="K1503" s="387"/>
    </row>
    <row r="1504" ht="15.75">
      <c r="K1504" s="387"/>
    </row>
    <row r="1505" ht="15.75">
      <c r="K1505" s="387"/>
    </row>
    <row r="1506" ht="15.75">
      <c r="K1506" s="387"/>
    </row>
    <row r="1507" ht="15.75">
      <c r="K1507" s="387"/>
    </row>
    <row r="1508" ht="15.75">
      <c r="K1508" s="387"/>
    </row>
    <row r="1509" ht="15.75">
      <c r="K1509" s="387"/>
    </row>
    <row r="1510" ht="15.75">
      <c r="K1510" s="387"/>
    </row>
    <row r="1511" ht="15.75">
      <c r="K1511" s="387"/>
    </row>
    <row r="1512" ht="15.75">
      <c r="K1512" s="387"/>
    </row>
    <row r="1513" ht="15.75">
      <c r="K1513" s="387"/>
    </row>
    <row r="1514" ht="15.75">
      <c r="K1514" s="387"/>
    </row>
    <row r="1515" ht="15.75">
      <c r="K1515" s="387"/>
    </row>
    <row r="1516" ht="15.75">
      <c r="K1516" s="387"/>
    </row>
    <row r="1517" ht="15.75">
      <c r="K1517" s="387"/>
    </row>
    <row r="1518" ht="15.75">
      <c r="K1518" s="387"/>
    </row>
    <row r="1519" ht="15.75">
      <c r="K1519" s="387"/>
    </row>
    <row r="1520" ht="15.75">
      <c r="K1520" s="387"/>
    </row>
    <row r="1521" ht="15.75">
      <c r="K1521" s="387"/>
    </row>
    <row r="1522" ht="15.75">
      <c r="K1522" s="387"/>
    </row>
    <row r="1523" ht="15.75">
      <c r="K1523" s="387"/>
    </row>
    <row r="1524" ht="15.75">
      <c r="K1524" s="387"/>
    </row>
    <row r="1525" ht="15.75">
      <c r="K1525" s="387"/>
    </row>
    <row r="1526" ht="15.75">
      <c r="K1526" s="387"/>
    </row>
    <row r="1527" ht="15.75">
      <c r="K1527" s="387"/>
    </row>
    <row r="1528" ht="15.75">
      <c r="K1528" s="387"/>
    </row>
    <row r="1529" ht="15.75">
      <c r="K1529" s="387"/>
    </row>
    <row r="1530" ht="15.75">
      <c r="K1530" s="387"/>
    </row>
    <row r="1531" ht="15.75">
      <c r="K1531" s="387"/>
    </row>
    <row r="1532" ht="15.75">
      <c r="K1532" s="387"/>
    </row>
    <row r="1533" ht="15.75">
      <c r="K1533" s="387"/>
    </row>
    <row r="1534" ht="15.75">
      <c r="K1534" s="387"/>
    </row>
    <row r="1535" ht="15.75">
      <c r="K1535" s="387"/>
    </row>
    <row r="1536" ht="15.75">
      <c r="K1536" s="387"/>
    </row>
    <row r="1537" ht="15.75">
      <c r="K1537" s="387"/>
    </row>
    <row r="1538" ht="15.75">
      <c r="K1538" s="387"/>
    </row>
    <row r="1539" ht="15.75">
      <c r="K1539" s="387"/>
    </row>
    <row r="1540" ht="15.75">
      <c r="K1540" s="387"/>
    </row>
    <row r="1541" ht="15.75">
      <c r="K1541" s="387"/>
    </row>
    <row r="1542" ht="15.75">
      <c r="K1542" s="387"/>
    </row>
    <row r="1543" ht="15.75">
      <c r="K1543" s="387"/>
    </row>
    <row r="1544" ht="15.75">
      <c r="K1544" s="387"/>
    </row>
    <row r="1545" ht="15.75">
      <c r="K1545" s="387"/>
    </row>
    <row r="1546" ht="15.75">
      <c r="K1546" s="387"/>
    </row>
    <row r="1547" ht="15.75">
      <c r="K1547" s="387"/>
    </row>
    <row r="1548" ht="15.75">
      <c r="K1548" s="387"/>
    </row>
    <row r="1549" ht="15.75">
      <c r="K1549" s="387"/>
    </row>
    <row r="1550" ht="15.75">
      <c r="K1550" s="387"/>
    </row>
    <row r="1551" ht="15.75">
      <c r="K1551" s="387"/>
    </row>
    <row r="1552" ht="15.75">
      <c r="K1552" s="387"/>
    </row>
    <row r="1553" ht="15.75">
      <c r="K1553" s="387"/>
    </row>
    <row r="1554" ht="15.75">
      <c r="K1554" s="387"/>
    </row>
    <row r="1555" ht="15.75">
      <c r="K1555" s="387"/>
    </row>
    <row r="1556" ht="15.75">
      <c r="K1556" s="387"/>
    </row>
    <row r="1557" ht="15.75">
      <c r="K1557" s="387"/>
    </row>
    <row r="1558" ht="15.75">
      <c r="K1558" s="387"/>
    </row>
    <row r="1559" ht="15.75">
      <c r="K1559" s="387"/>
    </row>
    <row r="1560" ht="15.75">
      <c r="K1560" s="387"/>
    </row>
    <row r="1561" ht="15.75">
      <c r="K1561" s="387"/>
    </row>
    <row r="1562" ht="15.75">
      <c r="K1562" s="387"/>
    </row>
    <row r="1563" ht="15.75">
      <c r="K1563" s="387"/>
    </row>
    <row r="1564" ht="15.75">
      <c r="K1564" s="387"/>
    </row>
    <row r="1565" ht="15.75">
      <c r="K1565" s="387"/>
    </row>
    <row r="1566" ht="15.75">
      <c r="K1566" s="387"/>
    </row>
    <row r="1567" ht="15.75">
      <c r="K1567" s="387"/>
    </row>
    <row r="1568" ht="15.75">
      <c r="K1568" s="387"/>
    </row>
    <row r="1569" ht="15.75">
      <c r="K1569" s="387"/>
    </row>
    <row r="1570" ht="15.75">
      <c r="K1570" s="387"/>
    </row>
    <row r="1571" ht="15.75">
      <c r="K1571" s="387"/>
    </row>
    <row r="1572" ht="15.75">
      <c r="K1572" s="387"/>
    </row>
    <row r="1573" ht="15.75">
      <c r="K1573" s="387"/>
    </row>
    <row r="1574" ht="15.75">
      <c r="K1574" s="387"/>
    </row>
    <row r="1575" ht="15.75">
      <c r="K1575" s="387"/>
    </row>
    <row r="1576" ht="15.75">
      <c r="K1576" s="387"/>
    </row>
    <row r="1577" ht="15.75">
      <c r="K1577" s="387"/>
    </row>
    <row r="1578" ht="15.75">
      <c r="K1578" s="387"/>
    </row>
    <row r="1579" ht="15.75">
      <c r="K1579" s="387"/>
    </row>
    <row r="1580" ht="15.75">
      <c r="K1580" s="387"/>
    </row>
    <row r="1581" ht="15.75">
      <c r="K1581" s="387"/>
    </row>
    <row r="1582" ht="15.75">
      <c r="K1582" s="387"/>
    </row>
    <row r="1583" ht="15.75">
      <c r="K1583" s="387"/>
    </row>
    <row r="1584" ht="15.75">
      <c r="K1584" s="387"/>
    </row>
    <row r="1585" ht="15.75">
      <c r="K1585" s="387"/>
    </row>
    <row r="1586" ht="15.75">
      <c r="K1586" s="387"/>
    </row>
    <row r="1587" ht="15.75">
      <c r="K1587" s="387"/>
    </row>
    <row r="1588" ht="15.75">
      <c r="K1588" s="387"/>
    </row>
    <row r="1589" ht="15.75">
      <c r="K1589" s="387"/>
    </row>
    <row r="1590" ht="15.75">
      <c r="K1590" s="387"/>
    </row>
    <row r="1591" ht="15.75">
      <c r="K1591" s="387"/>
    </row>
    <row r="1592" ht="15.75">
      <c r="K1592" s="387"/>
    </row>
    <row r="1593" ht="15.75">
      <c r="K1593" s="387"/>
    </row>
    <row r="1594" ht="15.75">
      <c r="K1594" s="387"/>
    </row>
    <row r="1595" ht="15.75">
      <c r="K1595" s="387"/>
    </row>
    <row r="1596" ht="15.75">
      <c r="K1596" s="387"/>
    </row>
    <row r="1597" ht="15.75">
      <c r="K1597" s="387"/>
    </row>
    <row r="1598" ht="15.75">
      <c r="K1598" s="387"/>
    </row>
    <row r="1599" ht="15.75">
      <c r="K1599" s="387"/>
    </row>
    <row r="1600" ht="15.75">
      <c r="K1600" s="387"/>
    </row>
    <row r="1601" ht="15.75">
      <c r="K1601" s="387"/>
    </row>
    <row r="1602" ht="15.75">
      <c r="K1602" s="387"/>
    </row>
    <row r="1603" ht="15.75">
      <c r="K1603" s="387"/>
    </row>
    <row r="1604" ht="15.75">
      <c r="K1604" s="387"/>
    </row>
    <row r="1605" ht="15.75">
      <c r="K1605" s="387"/>
    </row>
    <row r="1606" ht="15.75">
      <c r="K1606" s="387"/>
    </row>
    <row r="1607" ht="15.75">
      <c r="K1607" s="387"/>
    </row>
    <row r="1608" ht="15.75">
      <c r="K1608" s="387"/>
    </row>
    <row r="1609" ht="15.75">
      <c r="K1609" s="387"/>
    </row>
    <row r="1610" ht="15.75">
      <c r="K1610" s="387"/>
    </row>
    <row r="1611" ht="15.75">
      <c r="K1611" s="387"/>
    </row>
    <row r="1612" ht="15.75">
      <c r="K1612" s="387"/>
    </row>
    <row r="1613" ht="15.75">
      <c r="K1613" s="387"/>
    </row>
    <row r="1614" ht="15.75">
      <c r="K1614" s="387"/>
    </row>
    <row r="1615" ht="15.75">
      <c r="K1615" s="387"/>
    </row>
    <row r="1616" ht="15.75">
      <c r="K1616" s="387"/>
    </row>
    <row r="1617" ht="15.75">
      <c r="K1617" s="387"/>
    </row>
    <row r="1618" ht="15.75">
      <c r="K1618" s="387"/>
    </row>
    <row r="1619" ht="15.75">
      <c r="K1619" s="387"/>
    </row>
    <row r="1620" ht="15.75">
      <c r="K1620" s="387"/>
    </row>
    <row r="1621" ht="15.75">
      <c r="K1621" s="387"/>
    </row>
    <row r="1622" ht="15.75">
      <c r="K1622" s="387"/>
    </row>
    <row r="1623" ht="15.75">
      <c r="K1623" s="387"/>
    </row>
    <row r="1624" ht="15.75">
      <c r="K1624" s="387"/>
    </row>
    <row r="1625" ht="15.75">
      <c r="K1625" s="387"/>
    </row>
    <row r="1626" ht="15.75">
      <c r="K1626" s="387"/>
    </row>
    <row r="1627" ht="15.75">
      <c r="K1627" s="387"/>
    </row>
    <row r="1628" ht="15.75">
      <c r="K1628" s="387"/>
    </row>
    <row r="1629" ht="15.75">
      <c r="K1629" s="387"/>
    </row>
    <row r="1630" ht="15.75">
      <c r="K1630" s="387"/>
    </row>
    <row r="1631" ht="15.75">
      <c r="K1631" s="387"/>
    </row>
    <row r="1632" ht="15.75">
      <c r="K1632" s="387"/>
    </row>
    <row r="1633" ht="15.75">
      <c r="K1633" s="387"/>
    </row>
    <row r="1634" ht="15.75">
      <c r="K1634" s="387"/>
    </row>
    <row r="1635" ht="15.75">
      <c r="K1635" s="387"/>
    </row>
    <row r="1636" ht="15.75">
      <c r="K1636" s="387"/>
    </row>
    <row r="1637" ht="15.75">
      <c r="K1637" s="387"/>
    </row>
    <row r="1638" ht="15.75">
      <c r="K1638" s="387"/>
    </row>
    <row r="1639" ht="15.75">
      <c r="K1639" s="387"/>
    </row>
    <row r="1640" ht="15.75">
      <c r="K1640" s="387"/>
    </row>
    <row r="1641" ht="15.75">
      <c r="K1641" s="387"/>
    </row>
    <row r="1642" ht="15.75">
      <c r="K1642" s="387"/>
    </row>
    <row r="1643" ht="15.75">
      <c r="K1643" s="387"/>
    </row>
    <row r="1644" ht="15.75">
      <c r="K1644" s="387"/>
    </row>
    <row r="1645" ht="15.75">
      <c r="K1645" s="387"/>
    </row>
    <row r="1646" ht="15.75">
      <c r="K1646" s="387"/>
    </row>
    <row r="1647" ht="15.75">
      <c r="K1647" s="387"/>
    </row>
    <row r="1648" ht="15.75">
      <c r="K1648" s="387"/>
    </row>
    <row r="1649" ht="15.75">
      <c r="K1649" s="387"/>
    </row>
    <row r="1650" ht="15.75">
      <c r="K1650" s="387"/>
    </row>
    <row r="1651" ht="15.75">
      <c r="K1651" s="387"/>
    </row>
    <row r="1652" ht="15.75">
      <c r="K1652" s="387"/>
    </row>
    <row r="1653" ht="15.75">
      <c r="K1653" s="387"/>
    </row>
    <row r="1654" ht="15.75">
      <c r="K1654" s="387"/>
    </row>
    <row r="1655" ht="15.75">
      <c r="K1655" s="387"/>
    </row>
    <row r="1656" ht="15.75">
      <c r="K1656" s="387"/>
    </row>
    <row r="1657" ht="15.75">
      <c r="K1657" s="387"/>
    </row>
    <row r="1658" ht="15.75">
      <c r="K1658" s="387"/>
    </row>
    <row r="1659" ht="15.75">
      <c r="K1659" s="387"/>
    </row>
    <row r="1660" ht="15.75">
      <c r="K1660" s="387"/>
    </row>
    <row r="1661" ht="15.75">
      <c r="K1661" s="387"/>
    </row>
    <row r="1662" ht="15.75">
      <c r="K1662" s="387"/>
    </row>
    <row r="1663" ht="15.75">
      <c r="K1663" s="387"/>
    </row>
    <row r="1664" ht="15.75">
      <c r="K1664" s="387"/>
    </row>
    <row r="1665" ht="15.75">
      <c r="K1665" s="387"/>
    </row>
    <row r="1666" ht="15.75">
      <c r="K1666" s="387"/>
    </row>
    <row r="1667" ht="15.75">
      <c r="K1667" s="387"/>
    </row>
    <row r="1668" ht="15.75">
      <c r="K1668" s="387"/>
    </row>
    <row r="1669" ht="15.75">
      <c r="K1669" s="387"/>
    </row>
    <row r="1670" ht="15.75">
      <c r="K1670" s="387"/>
    </row>
    <row r="1671" ht="15.75">
      <c r="K1671" s="387"/>
    </row>
    <row r="1672" ht="15.75">
      <c r="K1672" s="387"/>
    </row>
    <row r="1673" ht="15.75">
      <c r="K1673" s="387"/>
    </row>
    <row r="1674" ht="15.75">
      <c r="K1674" s="387"/>
    </row>
    <row r="1675" ht="15.75">
      <c r="K1675" s="387"/>
    </row>
    <row r="1676" ht="15.75">
      <c r="K1676" s="387"/>
    </row>
    <row r="1677" ht="15.75">
      <c r="K1677" s="387"/>
    </row>
    <row r="1678" ht="15.75">
      <c r="K1678" s="387"/>
    </row>
    <row r="1679" ht="15.75">
      <c r="K1679" s="387"/>
    </row>
    <row r="1680" ht="15.75">
      <c r="K1680" s="387"/>
    </row>
    <row r="1681" ht="15.75">
      <c r="K1681" s="387"/>
    </row>
    <row r="1682" ht="15.75">
      <c r="K1682" s="387"/>
    </row>
    <row r="1683" ht="15.75">
      <c r="K1683" s="387"/>
    </row>
    <row r="1684" ht="15.75">
      <c r="K1684" s="387"/>
    </row>
    <row r="1685" ht="15.75">
      <c r="K1685" s="387"/>
    </row>
    <row r="1686" ht="15.75">
      <c r="K1686" s="387"/>
    </row>
    <row r="1687" ht="15.75">
      <c r="K1687" s="387"/>
    </row>
    <row r="1688" ht="15.75">
      <c r="K1688" s="387"/>
    </row>
    <row r="1689" ht="15.75">
      <c r="K1689" s="387"/>
    </row>
    <row r="1690" ht="15.75">
      <c r="K1690" s="387"/>
    </row>
    <row r="1691" ht="15.75">
      <c r="K1691" s="387"/>
    </row>
    <row r="1692" ht="15.75">
      <c r="K1692" s="387"/>
    </row>
    <row r="1693" ht="15.75">
      <c r="K1693" s="387"/>
    </row>
    <row r="1694" ht="15.75">
      <c r="K1694" s="387"/>
    </row>
    <row r="1695" ht="15.75">
      <c r="K1695" s="387"/>
    </row>
    <row r="1696" ht="15.75">
      <c r="K1696" s="387"/>
    </row>
    <row r="1697" ht="15.75">
      <c r="K1697" s="387"/>
    </row>
    <row r="1698" ht="15.75">
      <c r="K1698" s="387"/>
    </row>
    <row r="1699" ht="15.75">
      <c r="K1699" s="387"/>
    </row>
    <row r="1700" ht="15.75">
      <c r="K1700" s="387"/>
    </row>
    <row r="1701" ht="15.75">
      <c r="K1701" s="387"/>
    </row>
    <row r="1702" ht="15.75">
      <c r="K1702" s="387"/>
    </row>
    <row r="1703" ht="15.75">
      <c r="K1703" s="387"/>
    </row>
    <row r="1704" ht="15.75">
      <c r="K1704" s="387"/>
    </row>
    <row r="1705" ht="15.75">
      <c r="K1705" s="387"/>
    </row>
    <row r="1706" ht="15.75">
      <c r="K1706" s="387"/>
    </row>
    <row r="1707" ht="15.75">
      <c r="K1707" s="387"/>
    </row>
    <row r="1708" ht="15.75">
      <c r="K1708" s="387"/>
    </row>
    <row r="1709" ht="15.75">
      <c r="K1709" s="387"/>
    </row>
    <row r="1710" ht="15.75">
      <c r="K1710" s="387"/>
    </row>
    <row r="1711" ht="15.75">
      <c r="K1711" s="387"/>
    </row>
    <row r="1712" ht="15.75">
      <c r="K1712" s="387"/>
    </row>
    <row r="1713" ht="15.75">
      <c r="K1713" s="387"/>
    </row>
    <row r="1714" ht="15.75">
      <c r="K1714" s="387"/>
    </row>
    <row r="1715" ht="15.75">
      <c r="K1715" s="387"/>
    </row>
    <row r="1716" ht="15.75">
      <c r="K1716" s="387"/>
    </row>
    <row r="1717" ht="15.75">
      <c r="K1717" s="387"/>
    </row>
    <row r="1718" ht="15.75">
      <c r="K1718" s="387"/>
    </row>
    <row r="1719" ht="15.75">
      <c r="K1719" s="387"/>
    </row>
    <row r="1720" ht="15.75">
      <c r="K1720" s="387"/>
    </row>
    <row r="1721" ht="15.75">
      <c r="K1721" s="387"/>
    </row>
    <row r="1722" ht="15.75">
      <c r="K1722" s="387"/>
    </row>
    <row r="1723" ht="15.75">
      <c r="K1723" s="387"/>
    </row>
    <row r="1724" ht="15.75">
      <c r="K1724" s="387"/>
    </row>
    <row r="1725" ht="15.75">
      <c r="K1725" s="387"/>
    </row>
    <row r="1726" ht="15.75">
      <c r="K1726" s="387"/>
    </row>
    <row r="1727" ht="15.75">
      <c r="K1727" s="387"/>
    </row>
    <row r="1728" ht="15.75">
      <c r="K1728" s="387"/>
    </row>
    <row r="1729" ht="15.75">
      <c r="K1729" s="387"/>
    </row>
    <row r="1730" ht="15.75">
      <c r="K1730" s="387"/>
    </row>
    <row r="1731" ht="15.75">
      <c r="K1731" s="387"/>
    </row>
    <row r="1732" ht="15.75">
      <c r="K1732" s="387"/>
    </row>
    <row r="1733" ht="15.75">
      <c r="K1733" s="387"/>
    </row>
    <row r="1734" ht="15.75">
      <c r="K1734" s="387"/>
    </row>
    <row r="1735" ht="15.75">
      <c r="K1735" s="387"/>
    </row>
    <row r="1736" ht="15.75">
      <c r="K1736" s="387"/>
    </row>
    <row r="1737" ht="15.75">
      <c r="K1737" s="387"/>
    </row>
    <row r="1738" ht="15.75">
      <c r="K1738" s="387"/>
    </row>
    <row r="1739" ht="15.75">
      <c r="K1739" s="387"/>
    </row>
    <row r="1740" ht="15.75">
      <c r="K1740" s="387"/>
    </row>
    <row r="1741" ht="15.75">
      <c r="K1741" s="387"/>
    </row>
    <row r="1742" ht="15.75">
      <c r="K1742" s="387"/>
    </row>
    <row r="1743" ht="15.75">
      <c r="K1743" s="387"/>
    </row>
    <row r="1744" ht="15.75">
      <c r="K1744" s="387"/>
    </row>
    <row r="1745" ht="15.75">
      <c r="K1745" s="387"/>
    </row>
    <row r="1746" ht="15.75">
      <c r="K1746" s="387"/>
    </row>
    <row r="1747" ht="15.75">
      <c r="K1747" s="387"/>
    </row>
    <row r="1748" ht="15.75">
      <c r="K1748" s="387"/>
    </row>
    <row r="1749" ht="15.75">
      <c r="K1749" s="387"/>
    </row>
    <row r="1750" ht="15.75">
      <c r="K1750" s="387"/>
    </row>
    <row r="1751" ht="15.75">
      <c r="K1751" s="387"/>
    </row>
    <row r="1752" ht="15.75">
      <c r="K1752" s="387"/>
    </row>
    <row r="1753" ht="15.75">
      <c r="K1753" s="387"/>
    </row>
    <row r="1754" ht="15.75">
      <c r="K1754" s="387"/>
    </row>
    <row r="1755" ht="15.75">
      <c r="K1755" s="387"/>
    </row>
    <row r="1756" ht="15.75">
      <c r="K1756" s="387"/>
    </row>
    <row r="1757" ht="15.75">
      <c r="K1757" s="387"/>
    </row>
    <row r="1758" ht="15.75">
      <c r="K1758" s="387"/>
    </row>
    <row r="1759" ht="15.75">
      <c r="K1759" s="387"/>
    </row>
    <row r="1760" ht="15.75">
      <c r="K1760" s="387"/>
    </row>
    <row r="1761" ht="15.75">
      <c r="K1761" s="387"/>
    </row>
    <row r="1762" ht="15.75">
      <c r="K1762" s="387"/>
    </row>
    <row r="1763" ht="15.75">
      <c r="K1763" s="387"/>
    </row>
    <row r="1764" ht="15.75">
      <c r="K1764" s="387"/>
    </row>
    <row r="1765" ht="15.75">
      <c r="K1765" s="387"/>
    </row>
    <row r="1766" ht="15.75">
      <c r="K1766" s="387"/>
    </row>
    <row r="1767" ht="15.75">
      <c r="K1767" s="387"/>
    </row>
    <row r="1768" ht="15.75">
      <c r="K1768" s="387"/>
    </row>
    <row r="1769" ht="15.75">
      <c r="K1769" s="387"/>
    </row>
    <row r="1770" ht="15.75">
      <c r="K1770" s="387"/>
    </row>
    <row r="1771" ht="15.75">
      <c r="K1771" s="387"/>
    </row>
    <row r="1772" ht="15.75">
      <c r="K1772" s="387"/>
    </row>
    <row r="1773" ht="15.75">
      <c r="K1773" s="387"/>
    </row>
    <row r="1774" ht="15.75">
      <c r="K1774" s="387"/>
    </row>
    <row r="1775" ht="15.75">
      <c r="K1775" s="387"/>
    </row>
    <row r="1776" ht="15.75">
      <c r="K1776" s="387"/>
    </row>
    <row r="1777" ht="15.75">
      <c r="K1777" s="387"/>
    </row>
    <row r="1778" ht="15.75">
      <c r="K1778" s="387"/>
    </row>
    <row r="1779" ht="15.75">
      <c r="K1779" s="387"/>
    </row>
    <row r="1780" ht="15.75">
      <c r="K1780" s="387"/>
    </row>
    <row r="1781" ht="15.75">
      <c r="K1781" s="387"/>
    </row>
    <row r="1782" ht="15.75">
      <c r="K1782" s="387"/>
    </row>
    <row r="1783" ht="15.75">
      <c r="K1783" s="387"/>
    </row>
    <row r="1784" ht="15.75">
      <c r="K1784" s="387"/>
    </row>
    <row r="1785" ht="15.75">
      <c r="K1785" s="387"/>
    </row>
    <row r="1786" ht="15.75">
      <c r="K1786" s="387"/>
    </row>
    <row r="1787" ht="15.75">
      <c r="K1787" s="387"/>
    </row>
    <row r="1788" ht="15.75">
      <c r="K1788" s="387"/>
    </row>
    <row r="1789" ht="15.75">
      <c r="K1789" s="387"/>
    </row>
    <row r="1790" ht="15.75">
      <c r="K1790" s="387"/>
    </row>
    <row r="1791" ht="15.75">
      <c r="K1791" s="387"/>
    </row>
    <row r="1792" ht="15.75">
      <c r="K1792" s="387"/>
    </row>
    <row r="1793" ht="15.75">
      <c r="K1793" s="387"/>
    </row>
    <row r="1794" ht="15.75">
      <c r="K1794" s="387"/>
    </row>
    <row r="1795" ht="15.75">
      <c r="K1795" s="387"/>
    </row>
    <row r="1796" ht="15.75">
      <c r="K1796" s="387"/>
    </row>
    <row r="1797" ht="15.75">
      <c r="K1797" s="387"/>
    </row>
    <row r="1798" ht="15.75">
      <c r="K1798" s="387"/>
    </row>
    <row r="1799" ht="15.75">
      <c r="K1799" s="387"/>
    </row>
    <row r="1800" ht="15.75">
      <c r="K1800" s="387"/>
    </row>
    <row r="1801" ht="15.75">
      <c r="K1801" s="387"/>
    </row>
    <row r="1802" ht="15.75">
      <c r="K1802" s="387"/>
    </row>
    <row r="1803" ht="15.75">
      <c r="K1803" s="387"/>
    </row>
    <row r="1804" ht="15.75">
      <c r="K1804" s="387"/>
    </row>
    <row r="1805" ht="15.75">
      <c r="K1805" s="387"/>
    </row>
    <row r="1806" ht="15.75">
      <c r="K1806" s="387"/>
    </row>
    <row r="1807" ht="15.75">
      <c r="K1807" s="387"/>
    </row>
    <row r="1808" ht="15.75">
      <c r="K1808" s="387"/>
    </row>
    <row r="1809" ht="15.75">
      <c r="K1809" s="387"/>
    </row>
    <row r="1810" ht="15.75">
      <c r="K1810" s="387"/>
    </row>
    <row r="1811" ht="15.75">
      <c r="K1811" s="387"/>
    </row>
    <row r="1812" ht="15.75">
      <c r="K1812" s="387"/>
    </row>
    <row r="1813" ht="15.75">
      <c r="K1813" s="387"/>
    </row>
    <row r="1814" ht="15.75">
      <c r="K1814" s="387"/>
    </row>
    <row r="1815" ht="15.75">
      <c r="K1815" s="387"/>
    </row>
    <row r="1816" ht="15.75">
      <c r="K1816" s="387"/>
    </row>
    <row r="1817" ht="15.75">
      <c r="K1817" s="387"/>
    </row>
    <row r="1818" ht="15.75">
      <c r="K1818" s="387"/>
    </row>
    <row r="1819" ht="15.75">
      <c r="K1819" s="387"/>
    </row>
    <row r="1820" ht="15.75">
      <c r="K1820" s="387"/>
    </row>
    <row r="1821" ht="15.75">
      <c r="K1821" s="387"/>
    </row>
    <row r="1822" ht="15.75">
      <c r="K1822" s="387"/>
    </row>
    <row r="1823" ht="15.75">
      <c r="K1823" s="387"/>
    </row>
    <row r="1824" ht="15.75">
      <c r="K1824" s="387"/>
    </row>
    <row r="1825" ht="15.75">
      <c r="K1825" s="387"/>
    </row>
    <row r="1826" ht="15.75">
      <c r="K1826" s="387"/>
    </row>
    <row r="1827" ht="15.75">
      <c r="K1827" s="387"/>
    </row>
    <row r="1828" ht="15.75">
      <c r="K1828" s="387"/>
    </row>
    <row r="1829" ht="15.75">
      <c r="K1829" s="387"/>
    </row>
    <row r="1830" ht="15.75">
      <c r="K1830" s="387"/>
    </row>
    <row r="1831" ht="15.75">
      <c r="K1831" s="387"/>
    </row>
    <row r="1832" ht="15.75">
      <c r="K1832" s="387"/>
    </row>
    <row r="1833" ht="15.75">
      <c r="K1833" s="387"/>
    </row>
    <row r="1834" ht="15.75">
      <c r="K1834" s="387"/>
    </row>
    <row r="1835" ht="15.75">
      <c r="K1835" s="387"/>
    </row>
    <row r="1836" ht="15.75">
      <c r="K1836" s="387"/>
    </row>
    <row r="1837" ht="15.75">
      <c r="K1837" s="387"/>
    </row>
    <row r="1838" ht="15.75">
      <c r="K1838" s="387"/>
    </row>
    <row r="1839" ht="15.75">
      <c r="K1839" s="387"/>
    </row>
    <row r="1840" ht="15.75">
      <c r="K1840" s="387"/>
    </row>
    <row r="1841" ht="15.75">
      <c r="K1841" s="387"/>
    </row>
    <row r="1842" ht="15.75">
      <c r="K1842" s="387"/>
    </row>
    <row r="1843" ht="15.75">
      <c r="K1843" s="387"/>
    </row>
    <row r="1844" ht="15.75">
      <c r="K1844" s="387"/>
    </row>
    <row r="1845" ht="15.75">
      <c r="K1845" s="387"/>
    </row>
    <row r="1846" ht="15.75">
      <c r="K1846" s="387"/>
    </row>
    <row r="1847" ht="15.75">
      <c r="K1847" s="387"/>
    </row>
    <row r="1848" ht="15.75">
      <c r="K1848" s="387"/>
    </row>
    <row r="1849" ht="15.75">
      <c r="K1849" s="387"/>
    </row>
    <row r="1850" ht="15.75">
      <c r="K1850" s="387"/>
    </row>
    <row r="1851" ht="15.75">
      <c r="K1851" s="387"/>
    </row>
    <row r="1852" ht="15.75">
      <c r="K1852" s="387"/>
    </row>
    <row r="1853" ht="15.75">
      <c r="K1853" s="387"/>
    </row>
    <row r="1854" ht="15.75">
      <c r="K1854" s="387"/>
    </row>
    <row r="1855" ht="15.75">
      <c r="K1855" s="387"/>
    </row>
    <row r="1856" ht="15.75">
      <c r="K1856" s="387"/>
    </row>
    <row r="1857" ht="15.75">
      <c r="K1857" s="387"/>
    </row>
    <row r="1858" ht="15.75">
      <c r="K1858" s="387"/>
    </row>
    <row r="1859" ht="15.75">
      <c r="K1859" s="387"/>
    </row>
    <row r="1860" ht="15.75">
      <c r="K1860" s="387"/>
    </row>
    <row r="1861" ht="15.75">
      <c r="K1861" s="387"/>
    </row>
    <row r="1862" ht="15.75">
      <c r="K1862" s="387"/>
    </row>
    <row r="1863" ht="15.75">
      <c r="K1863" s="387"/>
    </row>
    <row r="1864" ht="15.75">
      <c r="K1864" s="387"/>
    </row>
    <row r="1865" ht="15.75">
      <c r="K1865" s="387"/>
    </row>
    <row r="1866" ht="15.75">
      <c r="K1866" s="387"/>
    </row>
    <row r="1867" ht="15.75">
      <c r="K1867" s="387"/>
    </row>
    <row r="1868" ht="15.75">
      <c r="K1868" s="387"/>
    </row>
    <row r="1869" ht="15.75">
      <c r="K1869" s="387"/>
    </row>
    <row r="1870" ht="15.75">
      <c r="K1870" s="387"/>
    </row>
    <row r="1871" ht="15.75">
      <c r="K1871" s="387"/>
    </row>
    <row r="1872" ht="15.75">
      <c r="K1872" s="387"/>
    </row>
    <row r="1873" ht="15.75">
      <c r="K1873" s="387"/>
    </row>
    <row r="1874" ht="15.75">
      <c r="K1874" s="387"/>
    </row>
    <row r="1875" ht="15.75">
      <c r="K1875" s="387"/>
    </row>
    <row r="1876" ht="15.75">
      <c r="K1876" s="387"/>
    </row>
    <row r="1877" ht="15.75">
      <c r="K1877" s="387"/>
    </row>
    <row r="1878" ht="15.75">
      <c r="K1878" s="387"/>
    </row>
    <row r="1879" ht="15.75">
      <c r="K1879" s="387"/>
    </row>
    <row r="1880" ht="15.75">
      <c r="K1880" s="387"/>
    </row>
    <row r="1881" ht="15.75">
      <c r="K1881" s="387"/>
    </row>
    <row r="1882" ht="15.75">
      <c r="K1882" s="387"/>
    </row>
    <row r="1883" ht="15.75">
      <c r="K1883" s="387"/>
    </row>
    <row r="1884" ht="15.75">
      <c r="K1884" s="387"/>
    </row>
    <row r="1885" ht="15.75">
      <c r="K1885" s="387"/>
    </row>
    <row r="1886" ht="15.75">
      <c r="K1886" s="387"/>
    </row>
    <row r="1887" ht="15.75">
      <c r="K1887" s="387"/>
    </row>
    <row r="1888" ht="15.75">
      <c r="K1888" s="387"/>
    </row>
    <row r="1889" ht="15.75">
      <c r="K1889" s="387"/>
    </row>
    <row r="1890" ht="15.75">
      <c r="K1890" s="387"/>
    </row>
    <row r="1891" ht="15.75">
      <c r="K1891" s="387"/>
    </row>
    <row r="1892" ht="15.75">
      <c r="K1892" s="387"/>
    </row>
    <row r="1893" ht="15.75">
      <c r="K1893" s="387"/>
    </row>
    <row r="1894" ht="15.75">
      <c r="K1894" s="387"/>
    </row>
    <row r="1895" ht="15.75">
      <c r="K1895" s="387"/>
    </row>
    <row r="1896" ht="15.75">
      <c r="K1896" s="387"/>
    </row>
    <row r="1897" ht="15.75">
      <c r="K1897" s="387"/>
    </row>
    <row r="1898" ht="15.75">
      <c r="K1898" s="387"/>
    </row>
    <row r="1899" ht="15.75">
      <c r="K1899" s="387"/>
    </row>
    <row r="1900" ht="15.75">
      <c r="K1900" s="387"/>
    </row>
    <row r="1901" ht="15.75">
      <c r="K1901" s="387"/>
    </row>
    <row r="1902" ht="15.75">
      <c r="K1902" s="387"/>
    </row>
    <row r="1903" ht="15.75">
      <c r="K1903" s="387"/>
    </row>
    <row r="1904" ht="15.75">
      <c r="K1904" s="387"/>
    </row>
    <row r="1905" ht="15.75">
      <c r="K1905" s="387"/>
    </row>
    <row r="1906" ht="15.75">
      <c r="K1906" s="387"/>
    </row>
    <row r="1907" ht="15.75">
      <c r="K1907" s="387"/>
    </row>
    <row r="1908" ht="15.75">
      <c r="K1908" s="387"/>
    </row>
    <row r="1909" ht="15.75">
      <c r="K1909" s="387"/>
    </row>
    <row r="1910" ht="15.75">
      <c r="K1910" s="387"/>
    </row>
    <row r="1911" ht="15.75">
      <c r="K1911" s="387"/>
    </row>
    <row r="1912" ht="15.75">
      <c r="K1912" s="387"/>
    </row>
    <row r="1913" ht="15.75">
      <c r="K1913" s="387"/>
    </row>
    <row r="1914" ht="15.75">
      <c r="K1914" s="387"/>
    </row>
    <row r="1915" ht="15.75">
      <c r="K1915" s="387"/>
    </row>
    <row r="1916" ht="15.75">
      <c r="K1916" s="387"/>
    </row>
    <row r="1917" ht="15.75">
      <c r="K1917" s="387"/>
    </row>
    <row r="1918" ht="15.75">
      <c r="K1918" s="387"/>
    </row>
    <row r="1919" ht="15.75">
      <c r="K1919" s="387"/>
    </row>
    <row r="1920" ht="15.75">
      <c r="K1920" s="387"/>
    </row>
    <row r="1921" ht="15.75">
      <c r="K1921" s="387"/>
    </row>
    <row r="1922" ht="15.75">
      <c r="K1922" s="387"/>
    </row>
    <row r="1923" ht="15.75">
      <c r="K1923" s="387"/>
    </row>
    <row r="1924" ht="15.75">
      <c r="K1924" s="387"/>
    </row>
    <row r="1925" ht="15.75">
      <c r="K1925" s="387"/>
    </row>
    <row r="1926" ht="15.75">
      <c r="K1926" s="387"/>
    </row>
    <row r="1927" ht="15.75">
      <c r="K1927" s="387"/>
    </row>
    <row r="1928" ht="15.75">
      <c r="K1928" s="387"/>
    </row>
    <row r="1929" ht="15.75">
      <c r="K1929" s="387"/>
    </row>
    <row r="1930" ht="15.75">
      <c r="K1930" s="387"/>
    </row>
    <row r="1931" ht="15.75">
      <c r="K1931" s="387"/>
    </row>
    <row r="1932" ht="15.75">
      <c r="K1932" s="387"/>
    </row>
    <row r="1933" ht="15.75">
      <c r="K1933" s="387"/>
    </row>
    <row r="1934" ht="15.75">
      <c r="K1934" s="387"/>
    </row>
    <row r="1935" ht="15.75">
      <c r="K1935" s="387"/>
    </row>
    <row r="1936" ht="15.75">
      <c r="K1936" s="387"/>
    </row>
    <row r="1937" ht="15.75">
      <c r="K1937" s="387"/>
    </row>
    <row r="1938" ht="15.75">
      <c r="K1938" s="387"/>
    </row>
    <row r="1939" ht="15.75">
      <c r="K1939" s="387"/>
    </row>
    <row r="1940" ht="15.75">
      <c r="K1940" s="387"/>
    </row>
    <row r="1941" ht="15.75">
      <c r="K1941" s="387"/>
    </row>
    <row r="1942" ht="15.75">
      <c r="K1942" s="387"/>
    </row>
    <row r="1943" ht="15.75">
      <c r="K1943" s="387"/>
    </row>
    <row r="1944" ht="15.75">
      <c r="K1944" s="387"/>
    </row>
    <row r="1945" ht="15.75">
      <c r="K1945" s="387"/>
    </row>
    <row r="1946" ht="15.75">
      <c r="K1946" s="387"/>
    </row>
    <row r="1947" ht="15.75">
      <c r="K1947" s="387"/>
    </row>
    <row r="1948" ht="15.75">
      <c r="K1948" s="387"/>
    </row>
    <row r="1949" ht="15.75">
      <c r="K1949" s="387"/>
    </row>
    <row r="1950" ht="15.75">
      <c r="K1950" s="387"/>
    </row>
    <row r="1951" ht="15.75">
      <c r="K1951" s="387"/>
    </row>
    <row r="1952" ht="15.75">
      <c r="K1952" s="387"/>
    </row>
    <row r="1953" ht="15.75">
      <c r="K1953" s="387"/>
    </row>
    <row r="1954" ht="15.75">
      <c r="K1954" s="387"/>
    </row>
    <row r="1955" ht="15.75">
      <c r="K1955" s="387"/>
    </row>
    <row r="1956" ht="15.75">
      <c r="K1956" s="387"/>
    </row>
    <row r="1957" ht="15.75">
      <c r="K1957" s="387"/>
    </row>
    <row r="1958" ht="15.75">
      <c r="K1958" s="387"/>
    </row>
    <row r="1959" ht="15.75">
      <c r="K1959" s="387"/>
    </row>
    <row r="1960" ht="15.75">
      <c r="K1960" s="387"/>
    </row>
    <row r="1961" ht="15.75">
      <c r="K1961" s="387"/>
    </row>
    <row r="1962" ht="15.75">
      <c r="K1962" s="387"/>
    </row>
    <row r="1963" ht="15.75">
      <c r="K1963" s="387"/>
    </row>
    <row r="1964" ht="15.75">
      <c r="K1964" s="387"/>
    </row>
    <row r="1965" ht="15.75">
      <c r="K1965" s="387"/>
    </row>
    <row r="1966" ht="15.75">
      <c r="K1966" s="387"/>
    </row>
    <row r="1967" ht="15.75">
      <c r="K1967" s="387"/>
    </row>
    <row r="1968" ht="15.75">
      <c r="K1968" s="387"/>
    </row>
    <row r="1969" ht="15.75">
      <c r="K1969" s="387"/>
    </row>
    <row r="1970" ht="15.75">
      <c r="K1970" s="387"/>
    </row>
    <row r="1971" ht="15.75">
      <c r="K1971" s="387"/>
    </row>
    <row r="1972" ht="15.75">
      <c r="K1972" s="387"/>
    </row>
    <row r="1973" ht="15.75">
      <c r="K1973" s="387"/>
    </row>
    <row r="1974" ht="15.75">
      <c r="K1974" s="387"/>
    </row>
    <row r="1975" ht="15.75">
      <c r="K1975" s="387"/>
    </row>
    <row r="1976" ht="15.75">
      <c r="K1976" s="387"/>
    </row>
    <row r="1977" ht="15.75">
      <c r="K1977" s="387"/>
    </row>
    <row r="1978" ht="15.75">
      <c r="K1978" s="387"/>
    </row>
    <row r="1979" ht="15.75">
      <c r="K1979" s="387"/>
    </row>
    <row r="1980" ht="15.75">
      <c r="K1980" s="387"/>
    </row>
    <row r="1981" ht="15.75">
      <c r="K1981" s="387"/>
    </row>
    <row r="1982" ht="15.75">
      <c r="K1982" s="387"/>
    </row>
    <row r="1983" ht="15.75">
      <c r="K1983" s="387"/>
    </row>
    <row r="1984" ht="15.75">
      <c r="K1984" s="387"/>
    </row>
    <row r="1985" ht="15.75">
      <c r="K1985" s="387"/>
    </row>
    <row r="1986" ht="15.75">
      <c r="K1986" s="387"/>
    </row>
    <row r="1987" ht="15.75">
      <c r="K1987" s="387"/>
    </row>
    <row r="1988" ht="15.75">
      <c r="K1988" s="387"/>
    </row>
    <row r="1989" ht="15.75">
      <c r="K1989" s="387"/>
    </row>
    <row r="1990" ht="15.75">
      <c r="K1990" s="387"/>
    </row>
    <row r="1991" ht="15.75">
      <c r="K1991" s="387"/>
    </row>
    <row r="1992" ht="15.75">
      <c r="K1992" s="387"/>
    </row>
    <row r="1993" ht="15.75">
      <c r="K1993" s="387"/>
    </row>
    <row r="1994" ht="15.75">
      <c r="K1994" s="387"/>
    </row>
    <row r="1995" ht="15.75">
      <c r="K1995" s="387"/>
    </row>
    <row r="1996" ht="15.75">
      <c r="K1996" s="387"/>
    </row>
    <row r="1997" ht="15.75">
      <c r="K1997" s="387"/>
    </row>
    <row r="1998" ht="15.75">
      <c r="K1998" s="387"/>
    </row>
    <row r="1999" ht="15.75">
      <c r="K1999" s="387"/>
    </row>
    <row r="2000" ht="15.75">
      <c r="K2000" s="387"/>
    </row>
    <row r="2001" ht="15.75">
      <c r="K2001" s="387"/>
    </row>
    <row r="2002" ht="15.75">
      <c r="K2002" s="387"/>
    </row>
    <row r="2003" ht="15.75">
      <c r="K2003" s="387"/>
    </row>
    <row r="2004" ht="15.75">
      <c r="K2004" s="387"/>
    </row>
    <row r="2005" ht="15.75">
      <c r="K2005" s="387"/>
    </row>
    <row r="2006" ht="15.75">
      <c r="K2006" s="387"/>
    </row>
    <row r="2007" ht="15.75">
      <c r="K2007" s="387"/>
    </row>
    <row r="2008" ht="15.75">
      <c r="K2008" s="387"/>
    </row>
    <row r="2009" ht="15.75">
      <c r="K2009" s="387"/>
    </row>
    <row r="2010" ht="15.75">
      <c r="K2010" s="387"/>
    </row>
    <row r="2011" ht="15.75">
      <c r="K2011" s="387"/>
    </row>
    <row r="2012" ht="15.75">
      <c r="K2012" s="387"/>
    </row>
    <row r="2013" ht="15.75">
      <c r="K2013" s="387"/>
    </row>
    <row r="2014" ht="15.75">
      <c r="K2014" s="387"/>
    </row>
    <row r="2015" ht="15.75">
      <c r="K2015" s="387"/>
    </row>
    <row r="2016" ht="15.75">
      <c r="K2016" s="387"/>
    </row>
    <row r="2017" ht="15.75">
      <c r="K2017" s="387"/>
    </row>
    <row r="2018" ht="15.75">
      <c r="K2018" s="387"/>
    </row>
    <row r="2019" ht="15.75">
      <c r="K2019" s="387"/>
    </row>
    <row r="2020" ht="15.75">
      <c r="K2020" s="387"/>
    </row>
    <row r="2021" ht="15.75">
      <c r="K2021" s="387"/>
    </row>
    <row r="2022" ht="15.75">
      <c r="K2022" s="387"/>
    </row>
    <row r="2023" ht="15.75">
      <c r="K2023" s="387"/>
    </row>
    <row r="2024" ht="15.75">
      <c r="K2024" s="387"/>
    </row>
    <row r="2025" ht="15.75">
      <c r="K2025" s="387"/>
    </row>
    <row r="2026" ht="15.75">
      <c r="K2026" s="387"/>
    </row>
    <row r="2027" ht="15.75">
      <c r="K2027" s="387"/>
    </row>
    <row r="2028" ht="15.75">
      <c r="K2028" s="387"/>
    </row>
    <row r="2029" ht="15.75">
      <c r="K2029" s="387"/>
    </row>
    <row r="2030" ht="15.75">
      <c r="K2030" s="387"/>
    </row>
    <row r="2031" ht="15.75">
      <c r="K2031" s="387"/>
    </row>
    <row r="2032" ht="15.75">
      <c r="K2032" s="387"/>
    </row>
    <row r="2033" ht="15.75">
      <c r="K2033" s="387"/>
    </row>
    <row r="2034" ht="15.75">
      <c r="K2034" s="387"/>
    </row>
    <row r="2035" ht="15.75">
      <c r="K2035" s="387"/>
    </row>
    <row r="2036" ht="15.75">
      <c r="K2036" s="387"/>
    </row>
    <row r="2037" ht="15.75">
      <c r="K2037" s="387"/>
    </row>
    <row r="2038" ht="15.75">
      <c r="K2038" s="387"/>
    </row>
    <row r="2039" ht="15.75">
      <c r="K2039" s="387"/>
    </row>
    <row r="2040" ht="15.75">
      <c r="K2040" s="387"/>
    </row>
    <row r="2041" ht="15.75">
      <c r="K2041" s="387"/>
    </row>
    <row r="2042" ht="15.75">
      <c r="K2042" s="387"/>
    </row>
    <row r="2043" ht="15.75">
      <c r="K2043" s="387"/>
    </row>
    <row r="2044" ht="15.75">
      <c r="K2044" s="387"/>
    </row>
    <row r="2045" ht="15.75">
      <c r="K2045" s="387"/>
    </row>
    <row r="2046" ht="15.75">
      <c r="K2046" s="387"/>
    </row>
    <row r="2047" ht="15.75">
      <c r="K2047" s="387"/>
    </row>
    <row r="2048" ht="15.75">
      <c r="K2048" s="387"/>
    </row>
    <row r="2049" ht="15.75">
      <c r="K2049" s="387"/>
    </row>
    <row r="2050" ht="15.75">
      <c r="K2050" s="387"/>
    </row>
    <row r="2051" ht="15.75">
      <c r="K2051" s="387"/>
    </row>
    <row r="2052" ht="15.75">
      <c r="K2052" s="387"/>
    </row>
    <row r="2053" ht="15.75">
      <c r="K2053" s="387"/>
    </row>
    <row r="2054" ht="15.75">
      <c r="K2054" s="387"/>
    </row>
    <row r="2055" ht="15.75">
      <c r="K2055" s="387"/>
    </row>
    <row r="2056" ht="15.75">
      <c r="K2056" s="387"/>
    </row>
    <row r="2057" ht="15.75">
      <c r="K2057" s="387"/>
    </row>
    <row r="2058" ht="15.75">
      <c r="K2058" s="387"/>
    </row>
    <row r="2059" ht="15.75">
      <c r="K2059" s="387"/>
    </row>
    <row r="2060" ht="15.75">
      <c r="K2060" s="387"/>
    </row>
    <row r="2061" ht="15.75">
      <c r="K2061" s="387"/>
    </row>
    <row r="2062" ht="15.75">
      <c r="K2062" s="387"/>
    </row>
    <row r="2063" ht="15.75">
      <c r="K2063" s="387"/>
    </row>
    <row r="2064" ht="15.75">
      <c r="K2064" s="387"/>
    </row>
    <row r="2065" ht="15.75">
      <c r="K2065" s="387"/>
    </row>
    <row r="2066" ht="15.75">
      <c r="K2066" s="387"/>
    </row>
    <row r="2067" ht="15.75">
      <c r="K2067" s="387"/>
    </row>
    <row r="2068" ht="15.75">
      <c r="K2068" s="387"/>
    </row>
    <row r="2069" ht="15.75">
      <c r="K2069" s="387"/>
    </row>
    <row r="2070" ht="15.75">
      <c r="K2070" s="387"/>
    </row>
    <row r="2071" ht="15.75">
      <c r="K2071" s="387"/>
    </row>
    <row r="2072" ht="15.75">
      <c r="K2072" s="387"/>
    </row>
    <row r="2073" ht="15.75">
      <c r="K2073" s="387"/>
    </row>
    <row r="2074" ht="15.75">
      <c r="K2074" s="387"/>
    </row>
    <row r="2075" ht="15.75">
      <c r="K2075" s="387"/>
    </row>
    <row r="2076" ht="15.75">
      <c r="K2076" s="387"/>
    </row>
    <row r="2077" ht="15.75">
      <c r="K2077" s="387"/>
    </row>
    <row r="2078" ht="15.75">
      <c r="K2078" s="387"/>
    </row>
    <row r="2079" ht="15.75">
      <c r="K2079" s="387"/>
    </row>
    <row r="2080" ht="15.75">
      <c r="K2080" s="387"/>
    </row>
    <row r="2081" ht="15.75">
      <c r="K2081" s="387"/>
    </row>
    <row r="2082" ht="15.75">
      <c r="K2082" s="387"/>
    </row>
    <row r="2083" ht="15.75">
      <c r="K2083" s="387"/>
    </row>
    <row r="2084" ht="15.75">
      <c r="K2084" s="387"/>
    </row>
    <row r="2085" ht="15.75">
      <c r="K2085" s="387"/>
    </row>
    <row r="2086" ht="15.75">
      <c r="K2086" s="387"/>
    </row>
    <row r="2087" ht="15.75">
      <c r="K2087" s="387"/>
    </row>
    <row r="2088" ht="15.75">
      <c r="K2088" s="387"/>
    </row>
    <row r="2089" ht="15.75">
      <c r="K2089" s="387"/>
    </row>
    <row r="2090" ht="15.75">
      <c r="K2090" s="387"/>
    </row>
    <row r="2091" ht="15.75">
      <c r="K2091" s="387"/>
    </row>
    <row r="2092" ht="15.75">
      <c r="K2092" s="387"/>
    </row>
    <row r="2093" ht="15.75">
      <c r="K2093" s="387"/>
    </row>
    <row r="2094" ht="15.75">
      <c r="K2094" s="387"/>
    </row>
    <row r="2095" ht="15.75">
      <c r="K2095" s="387"/>
    </row>
    <row r="2096" ht="15.75">
      <c r="K2096" s="387"/>
    </row>
    <row r="2097" ht="15.75">
      <c r="K2097" s="387"/>
    </row>
    <row r="2098" ht="15.75">
      <c r="K2098" s="387"/>
    </row>
    <row r="2099" ht="15.75">
      <c r="K2099" s="387"/>
    </row>
    <row r="2100" ht="15.75">
      <c r="K2100" s="387"/>
    </row>
    <row r="2101" ht="15.75">
      <c r="K2101" s="387"/>
    </row>
    <row r="2102" ht="15.75">
      <c r="K2102" s="387"/>
    </row>
    <row r="2103" ht="15.75">
      <c r="K2103" s="387"/>
    </row>
    <row r="2104" ht="15.75">
      <c r="K2104" s="387"/>
    </row>
    <row r="2105" ht="15.75">
      <c r="K2105" s="387"/>
    </row>
    <row r="2106" ht="15.75">
      <c r="K2106" s="387"/>
    </row>
    <row r="2107" ht="15.75">
      <c r="K2107" s="387"/>
    </row>
    <row r="2108" ht="15.75">
      <c r="K2108" s="387"/>
    </row>
    <row r="2109" ht="15.75">
      <c r="K2109" s="387"/>
    </row>
    <row r="2110" ht="15.75">
      <c r="K2110" s="387"/>
    </row>
    <row r="2111" ht="15.75">
      <c r="K2111" s="387"/>
    </row>
    <row r="2112" ht="15.75">
      <c r="K2112" s="387"/>
    </row>
    <row r="2113" ht="15.75">
      <c r="K2113" s="387"/>
    </row>
    <row r="2114" ht="15.75">
      <c r="K2114" s="387"/>
    </row>
    <row r="2115" ht="15.75">
      <c r="K2115" s="387"/>
    </row>
    <row r="2116" ht="15.75">
      <c r="K2116" s="387"/>
    </row>
    <row r="2117" ht="15.75">
      <c r="K2117" s="387"/>
    </row>
    <row r="2118" ht="15.75">
      <c r="K2118" s="387"/>
    </row>
    <row r="2119" ht="15.75">
      <c r="K2119" s="387"/>
    </row>
    <row r="2120" ht="15.75">
      <c r="K2120" s="387"/>
    </row>
    <row r="2121" ht="15.75">
      <c r="K2121" s="387"/>
    </row>
    <row r="2122" ht="15.75">
      <c r="K2122" s="387"/>
    </row>
    <row r="2123" ht="15.75">
      <c r="K2123" s="387"/>
    </row>
    <row r="2124" ht="15.75">
      <c r="K2124" s="387"/>
    </row>
    <row r="2125" ht="15.75">
      <c r="K2125" s="387"/>
    </row>
    <row r="2126" ht="15.75">
      <c r="K2126" s="387"/>
    </row>
    <row r="2127" ht="15.75">
      <c r="K2127" s="387"/>
    </row>
    <row r="2128" ht="15.75">
      <c r="K2128" s="387"/>
    </row>
    <row r="2129" ht="15.75">
      <c r="K2129" s="387"/>
    </row>
    <row r="2130" ht="15.75">
      <c r="K2130" s="387"/>
    </row>
    <row r="2131" ht="15.75">
      <c r="K2131" s="387"/>
    </row>
    <row r="2132" ht="15.75">
      <c r="K2132" s="387"/>
    </row>
    <row r="2133" ht="15.75">
      <c r="K2133" s="387"/>
    </row>
    <row r="2134" ht="15.75">
      <c r="K2134" s="387"/>
    </row>
    <row r="2135" ht="15.75">
      <c r="K2135" s="387"/>
    </row>
    <row r="2136" ht="15.75">
      <c r="K2136" s="387"/>
    </row>
    <row r="2137" ht="15.75">
      <c r="K2137" s="387"/>
    </row>
    <row r="2138" ht="15.75">
      <c r="K2138" s="387"/>
    </row>
    <row r="2139" ht="15.75">
      <c r="K2139" s="387"/>
    </row>
    <row r="2140" ht="15.75">
      <c r="K2140" s="387"/>
    </row>
    <row r="2141" ht="15.75">
      <c r="K2141" s="387"/>
    </row>
    <row r="2142" ht="15.75">
      <c r="K2142" s="387"/>
    </row>
    <row r="2143" ht="15.75">
      <c r="K2143" s="387"/>
    </row>
    <row r="2144" ht="15.75">
      <c r="K2144" s="387"/>
    </row>
    <row r="2145" ht="15.75">
      <c r="K2145" s="387"/>
    </row>
    <row r="2146" ht="15.75">
      <c r="K2146" s="387"/>
    </row>
    <row r="2147" ht="15.75">
      <c r="K2147" s="387"/>
    </row>
    <row r="2148" ht="15.75">
      <c r="K2148" s="387"/>
    </row>
    <row r="2149" ht="15.75">
      <c r="K2149" s="387"/>
    </row>
    <row r="2150" ht="15.75">
      <c r="K2150" s="387"/>
    </row>
    <row r="2151" ht="15.75">
      <c r="K2151" s="387"/>
    </row>
    <row r="2152" ht="15.75">
      <c r="K2152" s="387"/>
    </row>
    <row r="2153" ht="15.75">
      <c r="K2153" s="387"/>
    </row>
    <row r="2154" ht="15.75">
      <c r="K2154" s="387"/>
    </row>
    <row r="2155" ht="15.75">
      <c r="K2155" s="387"/>
    </row>
    <row r="2156" ht="15.75">
      <c r="K2156" s="387"/>
    </row>
    <row r="2157" ht="15.75">
      <c r="K2157" s="387"/>
    </row>
    <row r="2158" ht="15.75">
      <c r="K2158" s="387"/>
    </row>
    <row r="2159" ht="15.75">
      <c r="K2159" s="387"/>
    </row>
    <row r="2160" ht="15.75">
      <c r="K2160" s="387"/>
    </row>
    <row r="2161" ht="15.75">
      <c r="K2161" s="387"/>
    </row>
    <row r="2162" ht="15.75">
      <c r="K2162" s="387"/>
    </row>
    <row r="2163" ht="15.75">
      <c r="K2163" s="387"/>
    </row>
    <row r="2164" ht="15.75">
      <c r="K2164" s="387"/>
    </row>
    <row r="2165" ht="15.75">
      <c r="K2165" s="387"/>
    </row>
    <row r="2166" ht="15.75">
      <c r="K2166" s="387"/>
    </row>
    <row r="2167" ht="15.75">
      <c r="K2167" s="387"/>
    </row>
    <row r="2168" ht="15.75">
      <c r="K2168" s="387"/>
    </row>
    <row r="2169" ht="15.75">
      <c r="K2169" s="387"/>
    </row>
    <row r="2170" ht="15.75">
      <c r="K2170" s="387"/>
    </row>
    <row r="2171" ht="15.75">
      <c r="K2171" s="387"/>
    </row>
    <row r="2172" ht="15.75">
      <c r="K2172" s="387"/>
    </row>
    <row r="2173" ht="15.75">
      <c r="K2173" s="387"/>
    </row>
    <row r="2174" ht="15.75">
      <c r="K2174" s="387"/>
    </row>
    <row r="2175" ht="15.75">
      <c r="K2175" s="387"/>
    </row>
    <row r="2176" ht="15.75">
      <c r="K2176" s="387"/>
    </row>
    <row r="2177" ht="15.75">
      <c r="K2177" s="387"/>
    </row>
    <row r="2178" ht="15.75">
      <c r="K2178" s="387"/>
    </row>
    <row r="2179" ht="15.75">
      <c r="K2179" s="387"/>
    </row>
    <row r="2180" ht="15.75">
      <c r="K2180" s="387"/>
    </row>
    <row r="2181" ht="15.75">
      <c r="K2181" s="387"/>
    </row>
    <row r="2182" ht="15.75">
      <c r="K2182" s="387"/>
    </row>
    <row r="2183" ht="15.75">
      <c r="K2183" s="387"/>
    </row>
    <row r="2184" ht="15.75">
      <c r="K2184" s="387"/>
    </row>
    <row r="2185" ht="15.75">
      <c r="K2185" s="387"/>
    </row>
    <row r="2186" ht="15.75">
      <c r="K2186" s="387"/>
    </row>
    <row r="2187" ht="15.75">
      <c r="K2187" s="387"/>
    </row>
    <row r="2188" ht="15.75">
      <c r="K2188" s="387"/>
    </row>
    <row r="2189" ht="15.75">
      <c r="K2189" s="387"/>
    </row>
    <row r="2190" ht="15.75">
      <c r="K2190" s="387"/>
    </row>
    <row r="2191" ht="15.75">
      <c r="K2191" s="387"/>
    </row>
    <row r="2192" ht="15.75">
      <c r="K2192" s="387"/>
    </row>
    <row r="2193" ht="15.75">
      <c r="K2193" s="387"/>
    </row>
    <row r="2194" ht="15.75">
      <c r="K2194" s="387"/>
    </row>
    <row r="2195" ht="15.75">
      <c r="K2195" s="387"/>
    </row>
    <row r="2196" ht="15.75">
      <c r="K2196" s="387"/>
    </row>
    <row r="2197" ht="15.75">
      <c r="K2197" s="387"/>
    </row>
    <row r="2198" ht="15.75">
      <c r="K2198" s="387"/>
    </row>
    <row r="2199" ht="15.75">
      <c r="K2199" s="387"/>
    </row>
    <row r="2200" ht="15.75">
      <c r="K2200" s="387"/>
    </row>
    <row r="2201" ht="15.75">
      <c r="K2201" s="387"/>
    </row>
    <row r="2202" ht="15.75">
      <c r="K2202" s="387"/>
    </row>
    <row r="2203" ht="15.75">
      <c r="K2203" s="387"/>
    </row>
    <row r="2204" ht="15.75">
      <c r="K2204" s="387"/>
    </row>
    <row r="2205" ht="15.75">
      <c r="K2205" s="387"/>
    </row>
    <row r="2206" ht="15.75">
      <c r="K2206" s="387"/>
    </row>
    <row r="2207" ht="15.75">
      <c r="K2207" s="387"/>
    </row>
    <row r="2208" ht="15.75">
      <c r="K2208" s="387"/>
    </row>
    <row r="2209" ht="15.75">
      <c r="K2209" s="387"/>
    </row>
    <row r="2210" ht="15.75">
      <c r="K2210" s="387"/>
    </row>
    <row r="2211" ht="15.75">
      <c r="K2211" s="387"/>
    </row>
    <row r="2212" ht="15.75">
      <c r="K2212" s="387"/>
    </row>
    <row r="2213" ht="15.75">
      <c r="K2213" s="387"/>
    </row>
    <row r="2214" ht="15.75">
      <c r="K2214" s="387"/>
    </row>
    <row r="2215" ht="15.75">
      <c r="K2215" s="387"/>
    </row>
    <row r="2216" ht="15.75">
      <c r="K2216" s="387"/>
    </row>
    <row r="2217" ht="15.75">
      <c r="K2217" s="387"/>
    </row>
    <row r="2218" ht="15.75">
      <c r="K2218" s="387"/>
    </row>
    <row r="2219" ht="15.75">
      <c r="K2219" s="387"/>
    </row>
    <row r="2220" ht="15.75">
      <c r="K2220" s="387"/>
    </row>
    <row r="2221" ht="15.75">
      <c r="K2221" s="387"/>
    </row>
    <row r="2222" ht="15.75">
      <c r="K2222" s="387"/>
    </row>
    <row r="2223" ht="15.75">
      <c r="K2223" s="387"/>
    </row>
    <row r="2224" ht="15.75">
      <c r="K2224" s="387"/>
    </row>
    <row r="2225" ht="15.75">
      <c r="K2225" s="387"/>
    </row>
    <row r="2226" ht="15.75">
      <c r="K2226" s="387"/>
    </row>
    <row r="2227" ht="15.75">
      <c r="K2227" s="387"/>
    </row>
    <row r="2228" ht="15.75">
      <c r="K2228" s="387"/>
    </row>
    <row r="2229" ht="15.75">
      <c r="K2229" s="387"/>
    </row>
    <row r="2230" ht="15.75">
      <c r="K2230" s="387"/>
    </row>
    <row r="2231" ht="15.75">
      <c r="K2231" s="387"/>
    </row>
    <row r="2232" ht="15.75">
      <c r="K2232" s="387"/>
    </row>
    <row r="2233" ht="15.75">
      <c r="K2233" s="387"/>
    </row>
    <row r="2234" ht="15.75">
      <c r="K2234" s="387"/>
    </row>
    <row r="2235" ht="15.75">
      <c r="K2235" s="387"/>
    </row>
    <row r="2236" ht="15.75">
      <c r="K2236" s="387"/>
    </row>
    <row r="2237" ht="15.75">
      <c r="K2237" s="387"/>
    </row>
    <row r="2238" ht="15.75">
      <c r="K2238" s="387"/>
    </row>
    <row r="2239" ht="15.75">
      <c r="K2239" s="387"/>
    </row>
    <row r="2240" ht="15.75">
      <c r="K2240" s="387"/>
    </row>
    <row r="2241" ht="15.75">
      <c r="K2241" s="387"/>
    </row>
    <row r="2242" ht="15.75">
      <c r="K2242" s="387"/>
    </row>
    <row r="2243" ht="15.75">
      <c r="K2243" s="387"/>
    </row>
    <row r="2244" ht="15.75">
      <c r="K2244" s="387"/>
    </row>
    <row r="2245" ht="15.75">
      <c r="K2245" s="387"/>
    </row>
    <row r="2246" ht="15.75">
      <c r="K2246" s="387"/>
    </row>
    <row r="2247" ht="15.75">
      <c r="K2247" s="387"/>
    </row>
    <row r="2248" ht="15.75">
      <c r="K2248" s="387"/>
    </row>
    <row r="2249" ht="15.75">
      <c r="K2249" s="387"/>
    </row>
    <row r="2250" ht="15.75">
      <c r="K2250" s="387"/>
    </row>
    <row r="2251" ht="15.75">
      <c r="K2251" s="387"/>
    </row>
    <row r="2252" ht="15.75">
      <c r="K2252" s="387"/>
    </row>
    <row r="2253" ht="15.75">
      <c r="K2253" s="387"/>
    </row>
    <row r="2254" ht="15.75">
      <c r="K2254" s="387"/>
    </row>
    <row r="2255" ht="15.75">
      <c r="K2255" s="387"/>
    </row>
    <row r="2256" ht="15.75">
      <c r="K2256" s="387"/>
    </row>
    <row r="2257" ht="15.75">
      <c r="K2257" s="387"/>
    </row>
    <row r="2258" ht="15.75">
      <c r="K2258" s="387"/>
    </row>
    <row r="2259" ht="15.75">
      <c r="K2259" s="387"/>
    </row>
    <row r="2260" ht="15.75">
      <c r="K2260" s="387"/>
    </row>
    <row r="2261" ht="15.75">
      <c r="K2261" s="387"/>
    </row>
    <row r="2262" ht="15.75">
      <c r="K2262" s="387"/>
    </row>
    <row r="2263" ht="15.75">
      <c r="K2263" s="387"/>
    </row>
    <row r="2264" ht="15.75">
      <c r="K2264" s="387"/>
    </row>
    <row r="2265" ht="15.75">
      <c r="K2265" s="387"/>
    </row>
    <row r="2266" ht="15.75">
      <c r="K2266" s="387"/>
    </row>
    <row r="2267" ht="15.75">
      <c r="K2267" s="387"/>
    </row>
    <row r="2268" ht="15.75">
      <c r="K2268" s="387"/>
    </row>
    <row r="2269" ht="15.75">
      <c r="K2269" s="387"/>
    </row>
    <row r="2270" ht="15.75">
      <c r="K2270" s="387"/>
    </row>
    <row r="2271" ht="15.75">
      <c r="K2271" s="387"/>
    </row>
    <row r="2272" ht="15.75">
      <c r="K2272" s="387"/>
    </row>
    <row r="2273" ht="15.75">
      <c r="K2273" s="387"/>
    </row>
    <row r="2274" ht="15.75">
      <c r="K2274" s="387"/>
    </row>
    <row r="2275" ht="15.75">
      <c r="K2275" s="387"/>
    </row>
    <row r="2276" ht="15.75">
      <c r="K2276" s="387"/>
    </row>
    <row r="2277" ht="15.75">
      <c r="K2277" s="387"/>
    </row>
    <row r="2278" ht="15.75">
      <c r="K2278" s="387"/>
    </row>
    <row r="2279" ht="15.75">
      <c r="K2279" s="387"/>
    </row>
    <row r="2280" ht="15.75">
      <c r="K2280" s="387"/>
    </row>
    <row r="2281" ht="15.75">
      <c r="K2281" s="387"/>
    </row>
    <row r="2282" ht="15.75">
      <c r="K2282" s="387"/>
    </row>
    <row r="2283" ht="15.75">
      <c r="K2283" s="387"/>
    </row>
    <row r="2284" ht="15.75">
      <c r="K2284" s="387"/>
    </row>
    <row r="2285" ht="15.75">
      <c r="K2285" s="387"/>
    </row>
    <row r="2286" ht="15.75">
      <c r="K2286" s="387"/>
    </row>
    <row r="2287" ht="15.75">
      <c r="K2287" s="387"/>
    </row>
    <row r="2288" ht="15.75">
      <c r="K2288" s="387"/>
    </row>
    <row r="2289" ht="15.75">
      <c r="K2289" s="387"/>
    </row>
    <row r="2290" ht="15.75">
      <c r="K2290" s="387"/>
    </row>
    <row r="2291" ht="15.75">
      <c r="K2291" s="387"/>
    </row>
    <row r="2292" ht="15.75">
      <c r="K2292" s="387"/>
    </row>
    <row r="2293" ht="15.75">
      <c r="K2293" s="387"/>
    </row>
    <row r="2294" ht="15.75">
      <c r="K2294" s="387"/>
    </row>
    <row r="2295" ht="15.75">
      <c r="K2295" s="387"/>
    </row>
    <row r="2296" ht="15.75">
      <c r="K2296" s="387"/>
    </row>
    <row r="2297" ht="15.75">
      <c r="K2297" s="387"/>
    </row>
    <row r="2298" ht="15.75">
      <c r="K2298" s="387"/>
    </row>
    <row r="2299" ht="15.75">
      <c r="K2299" s="387"/>
    </row>
    <row r="2300" ht="15.75">
      <c r="K2300" s="387"/>
    </row>
    <row r="2301" ht="15.75">
      <c r="K2301" s="387"/>
    </row>
    <row r="2302" ht="15.75">
      <c r="K2302" s="387"/>
    </row>
    <row r="2303" ht="15.75">
      <c r="K2303" s="387"/>
    </row>
    <row r="2304" ht="15.75">
      <c r="K2304" s="387"/>
    </row>
    <row r="2305" ht="15.75">
      <c r="K2305" s="387"/>
    </row>
    <row r="2306" ht="15.75">
      <c r="K2306" s="387"/>
    </row>
    <row r="2307" ht="15.75">
      <c r="K2307" s="387"/>
    </row>
    <row r="2308" ht="15.75">
      <c r="K2308" s="387"/>
    </row>
    <row r="2309" ht="15.75">
      <c r="K2309" s="387"/>
    </row>
    <row r="2310" ht="15.75">
      <c r="K2310" s="387"/>
    </row>
    <row r="2311" ht="15.75">
      <c r="K2311" s="387"/>
    </row>
    <row r="2312" ht="15.75">
      <c r="K2312" s="387"/>
    </row>
    <row r="2313" ht="15.75">
      <c r="K2313" s="387"/>
    </row>
    <row r="2314" ht="15.75">
      <c r="K2314" s="387"/>
    </row>
    <row r="2315" ht="15.75">
      <c r="K2315" s="387"/>
    </row>
    <row r="2316" ht="15.75">
      <c r="K2316" s="387"/>
    </row>
    <row r="2317" ht="15.75">
      <c r="K2317" s="387"/>
    </row>
    <row r="2318" ht="15.75">
      <c r="K2318" s="387"/>
    </row>
    <row r="2319" ht="15.75">
      <c r="K2319" s="387"/>
    </row>
    <row r="2320" ht="15.75">
      <c r="K2320" s="387"/>
    </row>
    <row r="2321" ht="15.75">
      <c r="K2321" s="387"/>
    </row>
    <row r="2322" ht="15.75">
      <c r="K2322" s="387"/>
    </row>
    <row r="2323" ht="15.75">
      <c r="K2323" s="387"/>
    </row>
    <row r="2324" ht="15.75">
      <c r="K2324" s="387"/>
    </row>
    <row r="2325" ht="15.75">
      <c r="K2325" s="387"/>
    </row>
    <row r="2326" ht="15.75">
      <c r="K2326" s="387"/>
    </row>
    <row r="2327" ht="15.75">
      <c r="K2327" s="387"/>
    </row>
    <row r="2328" ht="15.75">
      <c r="K2328" s="387"/>
    </row>
    <row r="2329" ht="15.75">
      <c r="K2329" s="387"/>
    </row>
    <row r="2330" ht="15.75">
      <c r="K2330" s="387"/>
    </row>
    <row r="2331" ht="15.75">
      <c r="K2331" s="387"/>
    </row>
    <row r="2332" ht="15.75">
      <c r="K2332" s="387"/>
    </row>
    <row r="2333" ht="15.75">
      <c r="K2333" s="387"/>
    </row>
    <row r="2334" ht="15.75">
      <c r="K2334" s="387"/>
    </row>
    <row r="2335" ht="15.75">
      <c r="K2335" s="387"/>
    </row>
    <row r="2336" ht="15.75">
      <c r="K2336" s="387"/>
    </row>
    <row r="2337" ht="15.75">
      <c r="K2337" s="387"/>
    </row>
    <row r="2338" ht="15.75">
      <c r="K2338" s="387"/>
    </row>
    <row r="2339" ht="15.75">
      <c r="K2339" s="387"/>
    </row>
    <row r="2340" ht="15.75">
      <c r="K2340" s="387"/>
    </row>
    <row r="2341" ht="15.75">
      <c r="K2341" s="387"/>
    </row>
    <row r="2342" ht="15.75">
      <c r="K2342" s="387"/>
    </row>
    <row r="2343" ht="15.75">
      <c r="K2343" s="387"/>
    </row>
    <row r="2344" ht="15.75">
      <c r="K2344" s="387"/>
    </row>
    <row r="2345" ht="15.75">
      <c r="K2345" s="387"/>
    </row>
    <row r="2346" ht="15.75">
      <c r="K2346" s="387"/>
    </row>
    <row r="2347" ht="15.75">
      <c r="K2347" s="387"/>
    </row>
    <row r="2348" ht="15.75">
      <c r="K2348" s="387"/>
    </row>
    <row r="2349" ht="15.75">
      <c r="K2349" s="387"/>
    </row>
    <row r="2350" ht="15.75">
      <c r="K2350" s="387"/>
    </row>
    <row r="2351" ht="15.75">
      <c r="K2351" s="387"/>
    </row>
    <row r="2352" ht="15.75">
      <c r="K2352" s="387"/>
    </row>
    <row r="2353" ht="15.75">
      <c r="K2353" s="387"/>
    </row>
    <row r="2354" ht="15.75">
      <c r="K2354" s="387"/>
    </row>
    <row r="2355" ht="15.75">
      <c r="K2355" s="387"/>
    </row>
    <row r="2356" ht="15.75">
      <c r="K2356" s="387"/>
    </row>
    <row r="2357" ht="15.75">
      <c r="K2357" s="387"/>
    </row>
    <row r="2358" ht="15.75">
      <c r="K2358" s="387"/>
    </row>
    <row r="2359" ht="15.75">
      <c r="K2359" s="387"/>
    </row>
    <row r="2360" ht="15.75">
      <c r="K2360" s="387"/>
    </row>
    <row r="2361" ht="15.75">
      <c r="K2361" s="387"/>
    </row>
    <row r="2362" ht="15.75">
      <c r="K2362" s="387"/>
    </row>
    <row r="2363" ht="15.75">
      <c r="K2363" s="387"/>
    </row>
    <row r="2364" ht="15.75">
      <c r="K2364" s="387"/>
    </row>
    <row r="2365" ht="15.75">
      <c r="K2365" s="387"/>
    </row>
    <row r="2366" ht="15.75">
      <c r="K2366" s="387"/>
    </row>
    <row r="2367" ht="15.75">
      <c r="K2367" s="387"/>
    </row>
    <row r="2368" ht="15.75">
      <c r="K2368" s="387"/>
    </row>
    <row r="2369" ht="15.75">
      <c r="K2369" s="387"/>
    </row>
    <row r="2370" ht="15.75">
      <c r="K2370" s="387"/>
    </row>
    <row r="2371" ht="15.75">
      <c r="K2371" s="387"/>
    </row>
    <row r="2372" ht="15.75">
      <c r="K2372" s="387"/>
    </row>
    <row r="2373" ht="15.75">
      <c r="K2373" s="387"/>
    </row>
    <row r="2374" ht="15.75">
      <c r="K2374" s="387"/>
    </row>
    <row r="2375" ht="15.75">
      <c r="K2375" s="387"/>
    </row>
    <row r="2376" ht="15.75">
      <c r="K2376" s="387"/>
    </row>
    <row r="2377" ht="15.75">
      <c r="K2377" s="387"/>
    </row>
    <row r="2378" ht="15.75">
      <c r="K2378" s="387"/>
    </row>
    <row r="2379" ht="15.75">
      <c r="K2379" s="387"/>
    </row>
    <row r="2380" ht="15.75">
      <c r="K2380" s="387"/>
    </row>
    <row r="2381" ht="15.75">
      <c r="K2381" s="387"/>
    </row>
    <row r="2382" ht="15.75">
      <c r="K2382" s="387"/>
    </row>
    <row r="2383" ht="15.75">
      <c r="K2383" s="387"/>
    </row>
    <row r="2384" ht="15.75">
      <c r="K2384" s="387"/>
    </row>
    <row r="2385" ht="15.75">
      <c r="K2385" s="387"/>
    </row>
    <row r="2386" ht="15.75">
      <c r="K2386" s="387"/>
    </row>
    <row r="2387" ht="15.75">
      <c r="K2387" s="387"/>
    </row>
    <row r="2388" ht="15.75">
      <c r="K2388" s="387"/>
    </row>
    <row r="2389" ht="15.75">
      <c r="K2389" s="387"/>
    </row>
    <row r="2390" ht="15.75">
      <c r="K2390" s="387"/>
    </row>
    <row r="2391" ht="15.75">
      <c r="K2391" s="387"/>
    </row>
    <row r="2392" ht="15.75">
      <c r="K2392" s="387"/>
    </row>
    <row r="2393" ht="15.75">
      <c r="K2393" s="387"/>
    </row>
    <row r="2394" ht="15.75">
      <c r="K2394" s="387"/>
    </row>
    <row r="2395" ht="15.75">
      <c r="K2395" s="387"/>
    </row>
    <row r="2396" ht="15.75">
      <c r="K2396" s="387"/>
    </row>
    <row r="2397" ht="15.75">
      <c r="K2397" s="387"/>
    </row>
    <row r="2398" ht="15.75">
      <c r="K2398" s="387"/>
    </row>
    <row r="2399" ht="15.75">
      <c r="K2399" s="387"/>
    </row>
    <row r="2400" ht="15.75">
      <c r="K2400" s="387"/>
    </row>
    <row r="2401" ht="15.75">
      <c r="K2401" s="387"/>
    </row>
    <row r="2402" ht="15.75">
      <c r="K2402" s="387"/>
    </row>
    <row r="2403" ht="15.75">
      <c r="K2403" s="387"/>
    </row>
    <row r="2404" ht="15.75">
      <c r="K2404" s="387"/>
    </row>
    <row r="2405" ht="15.75">
      <c r="K2405" s="387"/>
    </row>
    <row r="2406" ht="15.75">
      <c r="K2406" s="387"/>
    </row>
    <row r="2407" ht="15.75">
      <c r="K2407" s="387"/>
    </row>
    <row r="2408" ht="15.75">
      <c r="K2408" s="387"/>
    </row>
    <row r="2409" ht="15.75">
      <c r="K2409" s="387"/>
    </row>
    <row r="2410" ht="15.75">
      <c r="K2410" s="387"/>
    </row>
    <row r="2411" ht="15.75">
      <c r="K2411" s="387"/>
    </row>
    <row r="2412" ht="15.75">
      <c r="K2412" s="387"/>
    </row>
    <row r="2413" ht="15.75">
      <c r="K2413" s="387"/>
    </row>
    <row r="2414" ht="15.75">
      <c r="K2414" s="387"/>
    </row>
    <row r="2415" ht="15.75">
      <c r="K2415" s="387"/>
    </row>
    <row r="2416" ht="15.75">
      <c r="K2416" s="387"/>
    </row>
    <row r="2417" ht="15.75">
      <c r="K2417" s="387"/>
    </row>
    <row r="2418" ht="15.75">
      <c r="K2418" s="387"/>
    </row>
    <row r="2419" ht="15.75">
      <c r="K2419" s="387"/>
    </row>
    <row r="2420" ht="15.75">
      <c r="K2420" s="387"/>
    </row>
    <row r="2421" ht="15.75">
      <c r="K2421" s="387"/>
    </row>
    <row r="2422" ht="15.75">
      <c r="K2422" s="387"/>
    </row>
    <row r="2423" ht="15.75">
      <c r="K2423" s="387"/>
    </row>
    <row r="2424" ht="15.75">
      <c r="K2424" s="387"/>
    </row>
    <row r="2425" ht="15.75">
      <c r="K2425" s="387"/>
    </row>
    <row r="2426" ht="15.75">
      <c r="K2426" s="387"/>
    </row>
    <row r="2427" ht="15.75">
      <c r="K2427" s="387"/>
    </row>
    <row r="2428" ht="15.75">
      <c r="K2428" s="387"/>
    </row>
    <row r="2429" ht="15.75">
      <c r="K2429" s="387"/>
    </row>
    <row r="2430" ht="15.75">
      <c r="K2430" s="387"/>
    </row>
    <row r="2431" ht="15.75">
      <c r="K2431" s="387"/>
    </row>
    <row r="2432" ht="15.75">
      <c r="K2432" s="387"/>
    </row>
    <row r="2433" ht="15.75">
      <c r="K2433" s="387"/>
    </row>
    <row r="2434" ht="15.75">
      <c r="K2434" s="387"/>
    </row>
    <row r="2435" ht="15.75">
      <c r="K2435" s="387"/>
    </row>
    <row r="2436" ht="15.75">
      <c r="K2436" s="387"/>
    </row>
    <row r="2437" ht="15.75">
      <c r="K2437" s="387"/>
    </row>
    <row r="2438" ht="15.75">
      <c r="K2438" s="387"/>
    </row>
    <row r="2439" ht="15.75">
      <c r="K2439" s="387"/>
    </row>
    <row r="2440" ht="15.75">
      <c r="K2440" s="387"/>
    </row>
    <row r="2441" ht="15.75">
      <c r="K2441" s="387"/>
    </row>
    <row r="2442" ht="15.75">
      <c r="K2442" s="387"/>
    </row>
    <row r="2443" ht="15.75">
      <c r="K2443" s="387"/>
    </row>
    <row r="2444" ht="15.75">
      <c r="K2444" s="387"/>
    </row>
    <row r="2445" ht="15.75">
      <c r="K2445" s="387"/>
    </row>
    <row r="2446" ht="15.75">
      <c r="K2446" s="387"/>
    </row>
    <row r="2447" ht="15.75">
      <c r="K2447" s="387"/>
    </row>
    <row r="2448" ht="15.75">
      <c r="K2448" s="387"/>
    </row>
    <row r="2449" ht="15.75">
      <c r="K2449" s="387"/>
    </row>
    <row r="2450" ht="15.75">
      <c r="K2450" s="387"/>
    </row>
    <row r="2451" ht="15.75">
      <c r="K2451" s="387"/>
    </row>
    <row r="2452" ht="15.75">
      <c r="K2452" s="387"/>
    </row>
    <row r="2453" ht="15.75">
      <c r="K2453" s="387"/>
    </row>
    <row r="2454" ht="15.75">
      <c r="K2454" s="387"/>
    </row>
    <row r="2455" ht="15.75">
      <c r="K2455" s="387"/>
    </row>
    <row r="2456" ht="15.75">
      <c r="K2456" s="387"/>
    </row>
    <row r="2457" ht="15.75">
      <c r="K2457" s="387"/>
    </row>
    <row r="2458" ht="15.75">
      <c r="K2458" s="387"/>
    </row>
    <row r="2459" ht="15.75">
      <c r="K2459" s="387"/>
    </row>
    <row r="2460" ht="15.75">
      <c r="K2460" s="387"/>
    </row>
    <row r="2461" ht="15.75">
      <c r="K2461" s="387"/>
    </row>
    <row r="2462" ht="15.75">
      <c r="K2462" s="387"/>
    </row>
    <row r="2463" ht="15.75">
      <c r="K2463" s="387"/>
    </row>
    <row r="2464" ht="15.75">
      <c r="K2464" s="387"/>
    </row>
    <row r="2465" ht="15.75">
      <c r="K2465" s="387"/>
    </row>
    <row r="2466" ht="15.75">
      <c r="K2466" s="387"/>
    </row>
    <row r="2467" ht="15.75">
      <c r="K2467" s="387"/>
    </row>
    <row r="2468" ht="15.75">
      <c r="K2468" s="387"/>
    </row>
    <row r="2469" ht="15.75">
      <c r="K2469" s="387"/>
    </row>
    <row r="2470" ht="15.75">
      <c r="K2470" s="387"/>
    </row>
    <row r="2471" ht="15.75">
      <c r="K2471" s="387"/>
    </row>
    <row r="2472" ht="15.75">
      <c r="K2472" s="387"/>
    </row>
    <row r="2473" ht="15.75">
      <c r="K2473" s="387"/>
    </row>
    <row r="2474" ht="15.75">
      <c r="K2474" s="387"/>
    </row>
    <row r="2475" ht="15.75">
      <c r="K2475" s="387"/>
    </row>
    <row r="2476" ht="15.75">
      <c r="K2476" s="387"/>
    </row>
    <row r="2477" ht="15.75">
      <c r="K2477" s="387"/>
    </row>
    <row r="2478" ht="15.75">
      <c r="K2478" s="387"/>
    </row>
    <row r="2479" ht="15.75">
      <c r="K2479" s="387"/>
    </row>
    <row r="2480" ht="15.75">
      <c r="K2480" s="387"/>
    </row>
    <row r="2481" ht="15.75">
      <c r="K2481" s="387"/>
    </row>
    <row r="2482" ht="15.75">
      <c r="K2482" s="387"/>
    </row>
    <row r="2483" ht="15.75">
      <c r="K2483" s="387"/>
    </row>
    <row r="2484" ht="15.75">
      <c r="K2484" s="387"/>
    </row>
    <row r="2485" ht="15.75">
      <c r="K2485" s="387"/>
    </row>
    <row r="2486" ht="15.75">
      <c r="K2486" s="387"/>
    </row>
    <row r="2487" ht="15.75">
      <c r="K2487" s="387"/>
    </row>
    <row r="2488" ht="15.75">
      <c r="K2488" s="387"/>
    </row>
    <row r="2489" ht="15.75">
      <c r="K2489" s="387"/>
    </row>
    <row r="2490" ht="15.75">
      <c r="K2490" s="387"/>
    </row>
    <row r="2491" ht="15.75">
      <c r="K2491" s="387"/>
    </row>
    <row r="2492" ht="15.75">
      <c r="K2492" s="387"/>
    </row>
    <row r="2493" ht="15.75">
      <c r="K2493" s="387"/>
    </row>
    <row r="2494" ht="15.75">
      <c r="K2494" s="387"/>
    </row>
    <row r="2495" ht="15.75">
      <c r="K2495" s="387"/>
    </row>
    <row r="2496" ht="15.75">
      <c r="K2496" s="387"/>
    </row>
    <row r="2497" ht="15.75">
      <c r="K2497" s="387"/>
    </row>
    <row r="2498" ht="15.75">
      <c r="K2498" s="387"/>
    </row>
    <row r="2499" ht="15.75">
      <c r="K2499" s="387"/>
    </row>
    <row r="2500" ht="15.75">
      <c r="K2500" s="387"/>
    </row>
    <row r="2501" ht="15.75">
      <c r="K2501" s="387"/>
    </row>
    <row r="2502" ht="15.75">
      <c r="K2502" s="387"/>
    </row>
    <row r="2503" ht="15.75">
      <c r="K2503" s="387"/>
    </row>
    <row r="2504" ht="15.75">
      <c r="K2504" s="387"/>
    </row>
    <row r="2505" ht="15.75">
      <c r="K2505" s="387"/>
    </row>
    <row r="2506" ht="15.75">
      <c r="K2506" s="387"/>
    </row>
    <row r="2507" ht="15.75">
      <c r="K2507" s="387"/>
    </row>
    <row r="2508" ht="15.75">
      <c r="K2508" s="387"/>
    </row>
    <row r="2509" ht="15.75">
      <c r="K2509" s="387"/>
    </row>
    <row r="2510" ht="15.75">
      <c r="K2510" s="387"/>
    </row>
    <row r="2511" ht="15.75">
      <c r="K2511" s="387"/>
    </row>
    <row r="2512" ht="15.75">
      <c r="K2512" s="387"/>
    </row>
    <row r="2513" ht="15.75">
      <c r="K2513" s="387"/>
    </row>
    <row r="2514" ht="15.75">
      <c r="K2514" s="387"/>
    </row>
    <row r="2515" ht="15.75">
      <c r="K2515" s="387"/>
    </row>
    <row r="2516" ht="15.75">
      <c r="K2516" s="387"/>
    </row>
    <row r="2517" ht="15.75">
      <c r="K2517" s="387"/>
    </row>
    <row r="2518" ht="15.75">
      <c r="K2518" s="387"/>
    </row>
    <row r="2519" ht="15.75">
      <c r="K2519" s="387"/>
    </row>
    <row r="2520" ht="15.75">
      <c r="K2520" s="387"/>
    </row>
    <row r="2521" ht="15.75">
      <c r="K2521" s="387"/>
    </row>
    <row r="2522" ht="15.75">
      <c r="K2522" s="387"/>
    </row>
    <row r="2523" ht="15.75">
      <c r="K2523" s="387"/>
    </row>
    <row r="2524" ht="15.75">
      <c r="K2524" s="387"/>
    </row>
    <row r="2525" ht="15.75">
      <c r="K2525" s="387"/>
    </row>
    <row r="2526" ht="15.75">
      <c r="K2526" s="387"/>
    </row>
    <row r="2527" ht="15.75">
      <c r="K2527" s="387"/>
    </row>
    <row r="2528" ht="15.75">
      <c r="K2528" s="387"/>
    </row>
    <row r="2529" ht="15.75">
      <c r="K2529" s="387"/>
    </row>
    <row r="2530" ht="15.75">
      <c r="K2530" s="387"/>
    </row>
    <row r="2531" ht="15.75">
      <c r="K2531" s="387"/>
    </row>
    <row r="2532" ht="15.75">
      <c r="K2532" s="387"/>
    </row>
    <row r="2533" ht="15.75">
      <c r="K2533" s="387"/>
    </row>
    <row r="2534" ht="15.75">
      <c r="K2534" s="387"/>
    </row>
    <row r="2535" ht="15.75">
      <c r="K2535" s="387"/>
    </row>
    <row r="2536" ht="15.75">
      <c r="K2536" s="387"/>
    </row>
    <row r="2537" ht="15.75">
      <c r="K2537" s="387"/>
    </row>
    <row r="2538" ht="15.75">
      <c r="K2538" s="387"/>
    </row>
    <row r="2539" ht="15.75">
      <c r="K2539" s="387"/>
    </row>
    <row r="2540" ht="15.75">
      <c r="K2540" s="387"/>
    </row>
    <row r="2541" ht="15.75">
      <c r="K2541" s="387"/>
    </row>
    <row r="2542" ht="15.75">
      <c r="K2542" s="387"/>
    </row>
    <row r="2543" ht="15.75">
      <c r="K2543" s="387"/>
    </row>
    <row r="2544" ht="15.75">
      <c r="K2544" s="387"/>
    </row>
    <row r="2545" ht="15.75">
      <c r="K2545" s="387"/>
    </row>
    <row r="2546" ht="15.75">
      <c r="K2546" s="387"/>
    </row>
    <row r="2547" ht="15.75">
      <c r="K2547" s="387"/>
    </row>
    <row r="2548" ht="15.75">
      <c r="K2548" s="387"/>
    </row>
    <row r="2549" ht="15.75">
      <c r="K2549" s="387"/>
    </row>
    <row r="2550" ht="15.75">
      <c r="K2550" s="387"/>
    </row>
    <row r="2551" ht="15.75">
      <c r="K2551" s="387"/>
    </row>
    <row r="2552" ht="15.75">
      <c r="K2552" s="387"/>
    </row>
    <row r="2553" ht="15.75">
      <c r="K2553" s="387"/>
    </row>
    <row r="2554" ht="15.75">
      <c r="K2554" s="387"/>
    </row>
    <row r="2555" ht="15.75">
      <c r="K2555" s="387"/>
    </row>
    <row r="2556" ht="15.75">
      <c r="K2556" s="387"/>
    </row>
    <row r="2557" ht="15.75">
      <c r="K2557" s="387"/>
    </row>
    <row r="2558" ht="15.75">
      <c r="K2558" s="387"/>
    </row>
    <row r="2559" ht="15.75">
      <c r="K2559" s="387"/>
    </row>
    <row r="2560" ht="15.75">
      <c r="K2560" s="387"/>
    </row>
    <row r="2561" ht="15.75">
      <c r="K2561" s="387"/>
    </row>
    <row r="2562" ht="15.75">
      <c r="K2562" s="387"/>
    </row>
    <row r="2563" ht="15.75">
      <c r="K2563" s="387"/>
    </row>
    <row r="2564" ht="15.75">
      <c r="K2564" s="387"/>
    </row>
    <row r="2565" ht="15.75">
      <c r="K2565" s="387"/>
    </row>
    <row r="2566" ht="15.75">
      <c r="K2566" s="387"/>
    </row>
    <row r="2567" ht="15.75">
      <c r="K2567" s="387"/>
    </row>
    <row r="2568" ht="15.75">
      <c r="K2568" s="387"/>
    </row>
    <row r="2569" ht="15.75">
      <c r="K2569" s="387"/>
    </row>
    <row r="2570" ht="15.75">
      <c r="K2570" s="387"/>
    </row>
    <row r="2571" ht="15.75">
      <c r="K2571" s="387"/>
    </row>
    <row r="2572" ht="15.75">
      <c r="K2572" s="387"/>
    </row>
    <row r="2573" ht="15.75">
      <c r="K2573" s="387"/>
    </row>
    <row r="2574" ht="15.75">
      <c r="K2574" s="387"/>
    </row>
    <row r="2575" ht="15.75">
      <c r="K2575" s="387"/>
    </row>
    <row r="2576" ht="15.75">
      <c r="K2576" s="387"/>
    </row>
    <row r="2577" ht="15.75">
      <c r="K2577" s="387"/>
    </row>
    <row r="2578" ht="15.75">
      <c r="K2578" s="387"/>
    </row>
    <row r="2579" ht="15.75">
      <c r="K2579" s="387"/>
    </row>
    <row r="2580" ht="15.75">
      <c r="K2580" s="387"/>
    </row>
    <row r="2581" ht="15.75">
      <c r="K2581" s="387"/>
    </row>
    <row r="2582" ht="15.75">
      <c r="K2582" s="387"/>
    </row>
    <row r="2583" ht="15.75">
      <c r="K2583" s="387"/>
    </row>
    <row r="2584" ht="15.75">
      <c r="K2584" s="387"/>
    </row>
    <row r="2585" ht="15.75">
      <c r="K2585" s="387"/>
    </row>
    <row r="2586" ht="15.75">
      <c r="K2586" s="387"/>
    </row>
    <row r="2587" ht="15.75">
      <c r="K2587" s="387"/>
    </row>
    <row r="2588" ht="15.75">
      <c r="K2588" s="387"/>
    </row>
    <row r="2589" ht="15.75">
      <c r="K2589" s="387"/>
    </row>
    <row r="2590" ht="15.75">
      <c r="K2590" s="387"/>
    </row>
    <row r="2591" ht="15.75">
      <c r="K2591" s="387"/>
    </row>
    <row r="2592" ht="15.75">
      <c r="K2592" s="387"/>
    </row>
    <row r="2593" ht="15.75">
      <c r="K2593" s="387"/>
    </row>
    <row r="2594" ht="15.75">
      <c r="K2594" s="387"/>
    </row>
    <row r="2595" ht="15.75">
      <c r="K2595" s="387"/>
    </row>
    <row r="2596" ht="15.75">
      <c r="K2596" s="387"/>
    </row>
    <row r="2597" ht="15.75">
      <c r="K2597" s="387"/>
    </row>
    <row r="2598" ht="15.75">
      <c r="K2598" s="387"/>
    </row>
    <row r="2599" ht="15.75">
      <c r="K2599" s="387"/>
    </row>
    <row r="2600" ht="15.75">
      <c r="K2600" s="387"/>
    </row>
    <row r="2601" ht="15.75">
      <c r="K2601" s="387"/>
    </row>
    <row r="2602" ht="15.75">
      <c r="K2602" s="387"/>
    </row>
    <row r="2603" ht="15.75">
      <c r="K2603" s="387"/>
    </row>
  </sheetData>
  <sheetProtection/>
  <mergeCells count="257">
    <mergeCell ref="A88:A89"/>
    <mergeCell ref="B88:B89"/>
    <mergeCell ref="A1101:A1102"/>
    <mergeCell ref="B1101:B1102"/>
    <mergeCell ref="A836:A837"/>
    <mergeCell ref="B836:B837"/>
    <mergeCell ref="A496:A497"/>
    <mergeCell ref="B496:B497"/>
    <mergeCell ref="A688:A689"/>
    <mergeCell ref="B688:B689"/>
    <mergeCell ref="A65:A66"/>
    <mergeCell ref="B65:B66"/>
    <mergeCell ref="A1047:A1049"/>
    <mergeCell ref="A1142:A1143"/>
    <mergeCell ref="B1142:B1143"/>
    <mergeCell ref="A690:A691"/>
    <mergeCell ref="B690:B691"/>
    <mergeCell ref="A838:A839"/>
    <mergeCell ref="B838:B839"/>
    <mergeCell ref="B1139:B1141"/>
    <mergeCell ref="A1139:A1141"/>
    <mergeCell ref="A848:A849"/>
    <mergeCell ref="A875:A881"/>
    <mergeCell ref="B90:B91"/>
    <mergeCell ref="A90:A91"/>
    <mergeCell ref="A498:A499"/>
    <mergeCell ref="B498:B499"/>
    <mergeCell ref="A378:A379"/>
    <mergeCell ref="B378:B379"/>
    <mergeCell ref="B389:B396"/>
    <mergeCell ref="A383:A387"/>
    <mergeCell ref="B383:B387"/>
    <mergeCell ref="A389:A396"/>
    <mergeCell ref="AE765:AH765"/>
    <mergeCell ref="AD744:AD745"/>
    <mergeCell ref="AH531:AH536"/>
    <mergeCell ref="AH559:AH561"/>
    <mergeCell ref="AH593:AH597"/>
    <mergeCell ref="AH599:AH603"/>
    <mergeCell ref="AE710:AG710"/>
    <mergeCell ref="AE766:AH766"/>
    <mergeCell ref="AE767:AH767"/>
    <mergeCell ref="AH744:AH745"/>
    <mergeCell ref="AE759:AH759"/>
    <mergeCell ref="AE763:AH763"/>
    <mergeCell ref="AE764:AH764"/>
    <mergeCell ref="AE744:AE745"/>
    <mergeCell ref="AF744:AF745"/>
    <mergeCell ref="AG744:AG745"/>
    <mergeCell ref="AE712:AG712"/>
    <mergeCell ref="AE721:AG721"/>
    <mergeCell ref="AE703:AH703"/>
    <mergeCell ref="AH16:AH17"/>
    <mergeCell ref="AF16:AF17"/>
    <mergeCell ref="AH510:AH512"/>
    <mergeCell ref="AH523:AH529"/>
    <mergeCell ref="AH613:AH614"/>
    <mergeCell ref="AH630:AH631"/>
    <mergeCell ref="AC16:AC17"/>
    <mergeCell ref="AD16:AD17"/>
    <mergeCell ref="AE16:AE17"/>
    <mergeCell ref="AG16:AG17"/>
    <mergeCell ref="A397:A402"/>
    <mergeCell ref="H1026:H1027"/>
    <mergeCell ref="D744:D745"/>
    <mergeCell ref="H744:H745"/>
    <mergeCell ref="B397:B402"/>
    <mergeCell ref="C485:C494"/>
    <mergeCell ref="B501:D501"/>
    <mergeCell ref="A420:A425"/>
    <mergeCell ref="B420:B425"/>
    <mergeCell ref="A428:A435"/>
    <mergeCell ref="A1187:D1187"/>
    <mergeCell ref="A754:A756"/>
    <mergeCell ref="B754:B756"/>
    <mergeCell ref="A873:A874"/>
    <mergeCell ref="B873:B874"/>
    <mergeCell ref="A896:A897"/>
    <mergeCell ref="A842:A847"/>
    <mergeCell ref="B842:B847"/>
    <mergeCell ref="B875:B881"/>
    <mergeCell ref="A884:A895"/>
    <mergeCell ref="B83:D83"/>
    <mergeCell ref="A84:A87"/>
    <mergeCell ref="B84:B87"/>
    <mergeCell ref="A67:A81"/>
    <mergeCell ref="B67:B81"/>
    <mergeCell ref="A1:M1"/>
    <mergeCell ref="C16:C17"/>
    <mergeCell ref="D16:D17"/>
    <mergeCell ref="E16:E17"/>
    <mergeCell ref="F16:F17"/>
    <mergeCell ref="B10:H10"/>
    <mergeCell ref="B12:H12"/>
    <mergeCell ref="B11:H11"/>
    <mergeCell ref="G16:G17"/>
    <mergeCell ref="I16:I17"/>
    <mergeCell ref="B19:D19"/>
    <mergeCell ref="A20:A54"/>
    <mergeCell ref="B20:B54"/>
    <mergeCell ref="A55:A56"/>
    <mergeCell ref="B55:B56"/>
    <mergeCell ref="A57:A60"/>
    <mergeCell ref="B57:B60"/>
    <mergeCell ref="C111:C113"/>
    <mergeCell ref="C115:C119"/>
    <mergeCell ref="A94:A95"/>
    <mergeCell ref="A106:A201"/>
    <mergeCell ref="A99:A104"/>
    <mergeCell ref="B99:B104"/>
    <mergeCell ref="A61:A63"/>
    <mergeCell ref="B61:B63"/>
    <mergeCell ref="C242:C246"/>
    <mergeCell ref="H16:H17"/>
    <mergeCell ref="B367:B371"/>
    <mergeCell ref="C222:C225"/>
    <mergeCell ref="B93:D93"/>
    <mergeCell ref="B94:B95"/>
    <mergeCell ref="B98:D98"/>
    <mergeCell ref="C258:C281"/>
    <mergeCell ref="B106:B201"/>
    <mergeCell ref="C108:C110"/>
    <mergeCell ref="C125:C133"/>
    <mergeCell ref="C205:C213"/>
    <mergeCell ref="C214:C218"/>
    <mergeCell ref="C231:C233"/>
    <mergeCell ref="C134:C138"/>
    <mergeCell ref="A365:A366"/>
    <mergeCell ref="B365:B366"/>
    <mergeCell ref="A372:A375"/>
    <mergeCell ref="B372:B375"/>
    <mergeCell ref="A502:A503"/>
    <mergeCell ref="A202:A364"/>
    <mergeCell ref="B202:B364"/>
    <mergeCell ref="A367:A371"/>
    <mergeCell ref="B436:B466"/>
    <mergeCell ref="A403:A414"/>
    <mergeCell ref="B403:B414"/>
    <mergeCell ref="A376:A377"/>
    <mergeCell ref="A380:A382"/>
    <mergeCell ref="B380:B382"/>
    <mergeCell ref="A643:A647"/>
    <mergeCell ref="C575:C578"/>
    <mergeCell ref="C580:C583"/>
    <mergeCell ref="C584:C588"/>
    <mergeCell ref="A553:A618"/>
    <mergeCell ref="B553:B618"/>
    <mergeCell ref="C570:C572"/>
    <mergeCell ref="C620:C624"/>
    <mergeCell ref="A666:A669"/>
    <mergeCell ref="B666:B669"/>
    <mergeCell ref="A699:A700"/>
    <mergeCell ref="B699:B700"/>
    <mergeCell ref="B693:D693"/>
    <mergeCell ref="A694:A696"/>
    <mergeCell ref="B694:B696"/>
    <mergeCell ref="B698:D698"/>
    <mergeCell ref="B884:B895"/>
    <mergeCell ref="B896:B897"/>
    <mergeCell ref="A904:A1039"/>
    <mergeCell ref="A898:A899"/>
    <mergeCell ref="B898:B899"/>
    <mergeCell ref="A900:A903"/>
    <mergeCell ref="B900:B903"/>
    <mergeCell ref="A1040:A1044"/>
    <mergeCell ref="B1040:B1044"/>
    <mergeCell ref="A1045:A1046"/>
    <mergeCell ref="B904:B1039"/>
    <mergeCell ref="A1162:A1164"/>
    <mergeCell ref="B1162:B1164"/>
    <mergeCell ref="A1050:A1098"/>
    <mergeCell ref="B1050:B1098"/>
    <mergeCell ref="A1103:A1132"/>
    <mergeCell ref="B1103:B1132"/>
    <mergeCell ref="A1136:A1138"/>
    <mergeCell ref="A1146:A1161"/>
    <mergeCell ref="B1146:B1161"/>
    <mergeCell ref="B1145:D1145"/>
    <mergeCell ref="A1185:G1185"/>
    <mergeCell ref="A1165:A1167"/>
    <mergeCell ref="B1165:B1167"/>
    <mergeCell ref="A1170:A1176"/>
    <mergeCell ref="B1170:B1176"/>
    <mergeCell ref="B1179:D1179"/>
    <mergeCell ref="A1180:A1181"/>
    <mergeCell ref="B1180:B1181"/>
    <mergeCell ref="A1168:A1169"/>
    <mergeCell ref="B1168:B1169"/>
    <mergeCell ref="C1127:C1129"/>
    <mergeCell ref="B1135:D1135"/>
    <mergeCell ref="C928:C931"/>
    <mergeCell ref="B1045:B1046"/>
    <mergeCell ref="D1026:D1027"/>
    <mergeCell ref="B1136:B1138"/>
    <mergeCell ref="AA16:AA17"/>
    <mergeCell ref="B3:H3"/>
    <mergeCell ref="B4:H4"/>
    <mergeCell ref="B5:H5"/>
    <mergeCell ref="B6:H6"/>
    <mergeCell ref="B7:H7"/>
    <mergeCell ref="B8:H8"/>
    <mergeCell ref="B9:H9"/>
    <mergeCell ref="B13:H13"/>
    <mergeCell ref="Z16:Z17"/>
    <mergeCell ref="B834:B835"/>
    <mergeCell ref="B848:B849"/>
    <mergeCell ref="B670:B687"/>
    <mergeCell ref="B649:D649"/>
    <mergeCell ref="N16:Y16"/>
    <mergeCell ref="J16:M16"/>
    <mergeCell ref="B643:B647"/>
    <mergeCell ref="B619:B632"/>
    <mergeCell ref="B502:B503"/>
    <mergeCell ref="B725:B750"/>
    <mergeCell ref="B751:B753"/>
    <mergeCell ref="B757:B833"/>
    <mergeCell ref="B14:H14"/>
    <mergeCell ref="B505:B547"/>
    <mergeCell ref="B428:B435"/>
    <mergeCell ref="B548:B552"/>
    <mergeCell ref="B469:B473"/>
    <mergeCell ref="B376:B377"/>
    <mergeCell ref="C370:C371"/>
    <mergeCell ref="A757:A833"/>
    <mergeCell ref="A834:A835"/>
    <mergeCell ref="B854:B872"/>
    <mergeCell ref="B841:D841"/>
    <mergeCell ref="B723:B724"/>
    <mergeCell ref="A854:A872"/>
    <mergeCell ref="AF706:AH706"/>
    <mergeCell ref="A633:A639"/>
    <mergeCell ref="B633:B639"/>
    <mergeCell ref="A670:A687"/>
    <mergeCell ref="A650:A660"/>
    <mergeCell ref="B650:B660"/>
    <mergeCell ref="A725:A750"/>
    <mergeCell ref="A751:A753"/>
    <mergeCell ref="A418:A419"/>
    <mergeCell ref="B418:B419"/>
    <mergeCell ref="A882:A883"/>
    <mergeCell ref="B882:B883"/>
    <mergeCell ref="B701:D701"/>
    <mergeCell ref="A702:A719"/>
    <mergeCell ref="B702:B719"/>
    <mergeCell ref="A720:A722"/>
    <mergeCell ref="B720:B722"/>
    <mergeCell ref="A723:A724"/>
    <mergeCell ref="A426:A427"/>
    <mergeCell ref="B426:B427"/>
    <mergeCell ref="AF621:AF624"/>
    <mergeCell ref="A619:A632"/>
    <mergeCell ref="A505:A547"/>
    <mergeCell ref="A436:A466"/>
    <mergeCell ref="A548:A552"/>
    <mergeCell ref="A469:A473"/>
    <mergeCell ref="A474:A495"/>
    <mergeCell ref="B474:B495"/>
  </mergeCells>
  <printOptions/>
  <pageMargins left="0.7086614173228347" right="0.7086614173228347" top="0.29" bottom="0.32" header="0.31496062992125984" footer="0.31496062992125984"/>
  <pageSetup fitToHeight="17" horizontalDpi="600" verticalDpi="600" orientation="portrait"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fmg2</cp:lastModifiedBy>
  <cp:lastPrinted>2014-11-18T09:01:37Z</cp:lastPrinted>
  <dcterms:created xsi:type="dcterms:W3CDTF">2001-11-20T06:18:58Z</dcterms:created>
  <dcterms:modified xsi:type="dcterms:W3CDTF">2014-11-20T14:23:55Z</dcterms:modified>
  <cp:category/>
  <cp:version/>
  <cp:contentType/>
  <cp:contentStatus/>
</cp:coreProperties>
</file>